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y9aY9TdJYlGZdTam1fcYDaKP7AwSjiPo7Ro9EqsvaVFJL1gZO/R758kfXVndxIojNlHilZtsOVQx/Cb6vFz7/Q==" workbookSaltValue="Ewxi1CSbhj/Hl/oZG2HN3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U12"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F13" i="7"/>
  <c r="T13" i="16"/>
  <c r="AZ11" i="11"/>
  <c r="P15" i="17"/>
  <c r="BL15" i="11"/>
  <c r="BJ10" i="11"/>
  <c r="BH11" i="11"/>
  <c r="T11" i="11"/>
  <c r="BH12" i="16"/>
  <c r="T13" i="20"/>
  <c r="BD9" i="8"/>
  <c r="L10" i="2"/>
  <c r="L16" i="2"/>
  <c r="V9" i="16"/>
  <c r="BF15" i="13"/>
  <c r="BG15" i="13"/>
  <c r="BA18" i="13"/>
  <c r="BE15" i="13"/>
  <c r="BF16" i="13"/>
  <c r="W20" i="20"/>
  <c r="AA20" i="20"/>
  <c r="AV20" i="20"/>
  <c r="AP20" i="20"/>
  <c r="M20" i="20"/>
  <c r="T19" i="8" l="1"/>
  <c r="BG12" i="8"/>
  <c r="AN12" i="11"/>
  <c r="BG10" i="8"/>
  <c r="E12" i="6"/>
  <c r="AO12" i="11"/>
  <c r="I9" i="7"/>
  <c r="K12" i="7"/>
  <c r="AO9" i="11"/>
  <c r="AM11" i="11"/>
  <c r="V10" i="16"/>
  <c r="S15" i="17"/>
  <c r="BK10" i="11"/>
  <c r="BM9" i="11"/>
  <c r="BG16" i="11"/>
  <c r="BK16" i="11"/>
  <c r="BL10" i="11"/>
  <c r="BF12" i="11"/>
  <c r="S15" i="16"/>
  <c r="AA15" i="16"/>
  <c r="X12" i="21"/>
  <c r="BL9" i="11"/>
  <c r="BH17" i="16"/>
  <c r="BK15" i="11"/>
  <c r="Q10" i="21"/>
  <c r="R10" i="21"/>
  <c r="R13" i="21" s="1"/>
  <c r="BH17" i="11"/>
  <c r="BU15" i="17"/>
  <c r="BW17" i="20"/>
  <c r="BV15" i="16"/>
  <c r="S11" i="17"/>
  <c r="AP16" i="20"/>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BH9" i="16"/>
  <c r="BG10" i="11"/>
  <c r="BM16" i="11"/>
  <c r="P17" i="17"/>
  <c r="BL17" i="11"/>
  <c r="BK12" i="11"/>
  <c r="BF10" i="11"/>
  <c r="BK9" i="11"/>
  <c r="V11" i="11"/>
  <c r="BI10" i="11"/>
  <c r="V9" i="11"/>
  <c r="BJ11" i="11"/>
  <c r="BI17" i="11"/>
  <c r="BG9" i="11"/>
  <c r="BL11" i="11"/>
  <c r="BM15" i="11"/>
  <c r="AP17" i="20"/>
  <c r="BW9" i="20"/>
  <c r="BV16" i="16"/>
  <c r="BW16" i="20"/>
  <c r="BW15" i="20"/>
  <c r="BU9" i="17"/>
  <c r="BV10" i="16"/>
  <c r="BU17" i="17"/>
  <c r="AO17" i="11"/>
  <c r="F15" i="16"/>
  <c r="BL15" i="16" s="1"/>
  <c r="BG15" i="8"/>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<sst xmlns="http://schemas.openxmlformats.org/spreadsheetml/2006/main" count="2102" uniqueCount="916">
  <si>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</si>
  <si>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</si>
  <si>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</si>
  <si>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</si>
  <si>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</si>
  <si>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</si>
  <si>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</si>
  <si>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</si>
  <si>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</si>
  <si>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</si>
  <si>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</si>
  <si>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</si>
  <si>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</si>
  <si>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</si>
  <si>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</si>
  <si>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</si>
  <si>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</si>
  <si>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</si>
  <si>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</si>
  <si>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</si>
  <si>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</si>
  <si>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</si>
  <si>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</si>
  <si>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</si>
  <si>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</si>
  <si>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</si>
  <si>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</si>
  <si>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</si>
  <si>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</si>
  <si>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</si>
  <si>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</si>
  <si>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</si>
  <si>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</si>
  <si>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</si>
  <si>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</si>
  <si>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</si>
  <si>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</si>
  <si>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</si>
  <si>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</si>
  <si>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</si>
  <si>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</si>
  <si>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</si>
  <si>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</si>
  <si>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</si>
  <si>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</si>
  <si>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</si>
  <si>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</si>
  <si>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</si>
  <si>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</si>
  <si>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</si>
  <si>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</si>
  <si>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</si>
  <si>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</si>
  <si>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</si>
  <si>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</si>
  <si>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</si>
  <si>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</si>
  <si>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</si>
  <si>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</si>
  <si>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</si>
  <si>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</si>
  <si>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</si>
  <si>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</si>
  <si>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</si>
  <si>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</si>
  <si>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</si>
  <si>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</si>
  <si>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</si>
  <si>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</si>
  <si>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</si>
  <si>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</si>
  <si>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</si>
  <si>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</si>
  <si>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</si>
  <si>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</si>
  <si>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</si>
  <si>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</si>
  <si>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</si>
  <si>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</si>
  <si>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</si>
  <si>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</si>
  <si>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</si>
  <si>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</si>
  <si>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</si>
  <si>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</si>
  <si>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</si>
  <si>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</si>
  <si>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</si>
  <si>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</si>
  <si>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</si>
  <si>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</si>
  <si>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</si>
  <si>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</si>
  <si>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</si>
  <si>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</si>
  <si>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</si>
  <si>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</si>
  <si>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</si>
  <si>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</si>
  <si>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</si>
  <si>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</si>
  <si>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</si>
  <si>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</si>
  <si>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</si>
  <si>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</si>
  <si>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</si>
  <si>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</si>
  <si>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</si>
  <si>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</si>
  <si>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</si>
  <si>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</si>
  <si>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</si>
  <si>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</si>
  <si>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</si>
  <si>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</si>
  <si>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</si>
  <si>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</si>
  <si>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</si>
  <si>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</si>
  <si>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</si>
  <si>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</si>
  <si>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</si>
  <si>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</si>
  <si>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</si>
  <si>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</si>
  <si>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</si>
  <si>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</si>
  <si>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</si>
  <si>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</si>
  <si>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</si>
  <si>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</si>
  <si>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</si>
  <si>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</si>
  <si>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</si>
  <si>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</si>
  <si>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</si>
  <si>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</si>
  <si>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</si>
  <si>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</si>
  <si>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</si>
  <si>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</si>
  <si>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</si>
  <si>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</si>
  <si>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</si>
  <si>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</si>
  <si>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</si>
  <si>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</si>
  <si>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</si>
  <si>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</si>
  <si>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</si>
  <si>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</si>
  <si>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</si>
  <si>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</si>
  <si>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</si>
  <si>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</si>
  <si>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</si>
  <si>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</si>
  <si>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</si>
  <si>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</si>
  <si>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</si>
  <si>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</si>
  <si>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</si>
  <si>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</si>
  <si>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</si>
  <si>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</si>
  <si>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</si>
  <si>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</si>
  <si>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</si>
  <si>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</si>
  <si>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</si>
  <si>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</si>
  <si>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</si>
  <si>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</si>
  <si>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</si>
  <si>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</si>
  <si>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</si>
  <si>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</si>
  <si>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</si>
  <si>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</si>
  <si>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</si>
  <si>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</si>
  <si>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</si>
  <si>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</si>
  <si>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</si>
  <si>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</si>
  <si>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</si>
  <si>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</si>
  <si>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</si>
  <si>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</si>
  <si>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</si>
  <si>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</si>
  <si>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</si>
  <si>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</si>
  <si>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</si>
  <si>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</si>
  <si>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</si>
  <si>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</si>
  <si>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</si>
  <si>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</si>
  <si>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</si>
  <si>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</si>
  <si>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</si>
  <si>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</si>
  <si>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</si>
  <si>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</si>
  <si>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</si>
  <si>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</si>
  <si>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</si>
  <si>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</si>
  <si>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</si>
  <si>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</si>
  <si>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</si>
  <si>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</si>
  <si>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</si>
  <si>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</si>
  <si>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</si>
  <si>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</si>
  <si>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</si>
  <si>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</si>
  <si>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</si>
  <si>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</si>
  <si>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</si>
  <si>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</si>
  <si>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</si>
  <si>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</si>
  <si>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</si>
  <si>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</si>
  <si>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</si>
  <si>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</si>
  <si>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</si>
  <si>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</si>
  <si>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</si>
  <si>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</si>
  <si>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</si>
  <si>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</si>
  <si>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</si>
  <si>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</si>
  <si>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</si>
  <si>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</si>
  <si>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</si>
  <si>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</si>
  <si>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</si>
  <si>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</si>
  <si>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</si>
  <si>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</si>
  <si>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</si>
  <si>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</si>
  <si>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</si>
  <si>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</si>
  <si>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</si>
  <si>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</si>
  <si>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</si>
  <si>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</si>
  <si>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</si>
  <si>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</si>
  <si>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</si>
  <si>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</si>
  <si>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</si>
  <si>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</si>
  <si>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</si>
  <si>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</si>
  <si>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</si>
  <si>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</si>
  <si>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</si>
  <si>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</si>
  <si>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</si>
  <si>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</si>
  <si>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</si>
  <si>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</si>
  <si>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</si>
  <si>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</si>
  <si>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</si>
  <si>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</si>
  <si>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</si>
  <si>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</si>
  <si>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</si>
  <si>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</si>
  <si>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</si>
  <si>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</si>
  <si>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</si>
  <si>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</si>
  <si>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</si>
  <si>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</si>
  <si>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</si>
  <si>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</si>
  <si>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</si>
  <si>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</si>
  <si>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</si>
  <si>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</si>
  <si>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</si>
  <si>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</si>
  <si>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</si>
  <si>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</si>
  <si>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</si>
  <si>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</si>
  <si>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</si>
  <si>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</si>
  <si>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</si>
  <si>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</si>
  <si>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</si>
  <si>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</si>
  <si>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</si>
  <si>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</si>
  <si>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</si>
  <si>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</si>
  <si>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</si>
  <si>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</si>
  <si>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</si>
  <si>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</si>
  <si>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</si>
  <si>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</si>
  <si>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</si>
  <si>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</si>
  <si>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</si>
  <si>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</si>
  <si>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</si>
  <si>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</si>
  <si>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</si>
  <si>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</si>
  <si>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</si>
  <si>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</si>
  <si>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</si>
  <si>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</si>
  <si>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</si>
  <si>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</si>
  <si>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</si>
  <si>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</si>
  <si>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</si>
  <si>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</si>
  <si>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</si>
  <si>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</si>
  <si>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</si>
  <si>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</si>
  <si>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</si>
  <si>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</si>
  <si>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</si>
  <si>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</si>
  <si>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</si>
  <si>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</si>
  <si>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</si>
  <si>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</si>
  <si>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</si>
  <si>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</si>
  <si>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</si>
  <si>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</si>
  <si>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</si>
  <si>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</si>
  <si>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</si>
  <si>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</si>
  <si>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</si>
  <si>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</si>
  <si>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</si>
  <si>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</si>
  <si>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</si>
  <si>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</si>
  <si>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</si>
  <si>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</si>
  <si>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</si>
  <si>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</si>
  <si>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</si>
  <si>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</si>
  <si>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</si>
  <si>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</si>
  <si>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</si>
  <si>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</si>
  <si>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</si>
  <si>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</si>
  <si>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</si>
  <si>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</si>
  <si>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</si>
  <si>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</si>
  <si>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</si>
  <si>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</si>
  <si>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</si>
  <si>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</si>
  <si>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</si>
  <si>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</si>
  <si>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</si>
  <si>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</si>
  <si>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</si>
  <si>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</si>
  <si>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</si>
  <si>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</si>
  <si>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</si>
  <si>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</si>
  <si>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</si>
  <si>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</si>
  <si>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</si>
  <si>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</si>
  <si>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</si>
  <si>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</si>
  <si>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</si>
  <si>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</si>
  <si>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</si>
  <si>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</si>
  <si>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</si>
  <si>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</si>
  <si>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</si>
  <si>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</si>
  <si>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</si>
  <si>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</si>
  <si>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</si>
  <si>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</si>
  <si>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</si>
  <si>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</si>
  <si>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</si>
  <si>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</si>
  <si>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</si>
  <si>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</si>
  <si>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</si>
  <si>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</si>
  <si>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</si>
  <si>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</si>
  <si>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</si>
  <si>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</si>
  <si>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</si>
  <si>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</si>
  <si>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</si>
  <si>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</si>
  <si>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</si>
  <si>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</si>
  <si>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</si>
  <si>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</si>
  <si>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</si>
  <si>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</si>
  <si>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</si>
  <si>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</si>
  <si>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</si>
  <si>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</si>
  <si>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</si>
  <si>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</si>
  <si>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</si>
  <si>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</si>
  <si>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</si>
  <si>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</si>
  <si>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</si>
  <si>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</si>
  <si>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</si>
  <si>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</si>
  <si>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</si>
  <si>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</si>
  <si>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</si>
  <si>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</si>
  <si>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</si>
  <si>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</si>
  <si>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</si>
  <si>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</si>
  <si>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</si>
  <si>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</si>
  <si>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</si>
  <si>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</si>
  <si>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</si>
  <si>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</si>
  <si>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</si>
  <si>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</si>
  <si>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</si>
  <si>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</si>
  <si>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</si>
  <si>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</si>
  <si>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</si>
  <si>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</si>
  <si>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</si>
  <si>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</si>
  <si>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</si>
  <si>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</si>
  <si>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</si>
  <si>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</si>
  <si>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</si>
  <si>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</si>
  <si>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</si>
  <si>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</si>
  <si>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</si>
  <si>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</si>
  <si>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</si>
  <si>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</si>
  <si>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</si>
  <si>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</si>
  <si>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</si>
  <si>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</si>
  <si>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</si>
  <si>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</si>
  <si>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</si>
  <si>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</si>
  <si>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</si>
  <si>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</si>
  <si>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</si>
  <si>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</si>
  <si>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</si>
  <si>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</si>
  <si>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</si>
  <si>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</si>
  <si>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</si>
  <si>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</si>
  <si>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</si>
  <si>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</si>
  <si>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</si>
  <si>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</si>
  <si>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</si>
  <si>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</si>
  <si>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</si>
  <si>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</si>
  <si>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</si>
  <si>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</si>
  <si>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</si>
  <si>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</si>
  <si>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</si>
  <si>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</si>
  <si>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</si>
  <si>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</si>
  <si>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</si>
  <si>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</si>
  <si>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</si>
  <si>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</si>
  <si>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</si>
  <si>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</si>
  <si>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</si>
  <si>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</si>
  <si>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</si>
  <si>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</si>
  <si>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</si>
  <si>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</si>
  <si>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</si>
  <si>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</si>
  <si>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</si>
  <si>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</si>
  <si>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</si>
  <si>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</si>
  <si>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</si>
  <si>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</si>
  <si>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</si>
  <si>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</si>
  <si>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</si>
  <si>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</si>
  <si>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</si>
  <si>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</si>
  <si>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</si>
  <si>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</si>
  <si>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</si>
  <si>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</si>
  <si>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</si>
  <si>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</si>
  <si>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</si>
  <si>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</si>
  <si>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</si>
  <si>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</si>
  <si>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</si>
  <si>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</si>
  <si>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</si>
  <si>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</si>
  <si>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</si>
  <si>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</si>
  <si>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</si>
  <si>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</si>
  <si>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</si>
  <si>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</si>
  <si>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</si>
  <si>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</si>
  <si>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</si>
  <si>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</si>
  <si>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</si>
  <si>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</si>
  <si>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</si>
  <si>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</si>
  <si>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</si>
  <si>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</si>
  <si>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</si>
  <si>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</si>
  <si>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</si>
  <si>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</si>
  <si>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</si>
  <si>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</si>
  <si>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</si>
  <si>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</si>
  <si>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</si>
  <si>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</si>
  <si>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</si>
  <si>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</si>
  <si>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</si>
  <si>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</si>
  <si>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</si>
  <si>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</si>
  <si>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</si>
  <si>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</si>
  <si>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</si>
  <si>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</si>
  <si>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</si>
  <si>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</si>
  <si>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</si>
  <si>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</si>
  <si>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</si>
  <si>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</si>
  <si>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</si>
  <si>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</si>
  <si>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</si>
  <si>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</si>
  <si>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</si>
  <si>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</si>
  <si>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</si>
  <si>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</si>
  <si>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</si>
  <si>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</si>
  <si>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</si>
  <si>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</si>
  <si>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</si>
  <si>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</si>
  <si>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</si>
  <si>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</si>
  <si>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</si>
  <si>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</si>
  <si>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</si>
  <si>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</si>
  <si>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</si>
  <si>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</si>
  <si>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</si>
  <si>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</si>
  <si>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</si>
  <si>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</si>
  <si>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</si>
  <si>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</si>
  <si>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</si>
  <si>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</si>
  <si>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</si>
  <si>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</si>
  <si>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</si>
  <si>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</si>
  <si>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</si>
  <si>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</si>
  <si>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</si>
  <si>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</si>
  <si>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</si>
  <si>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</si>
  <si>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</si>
  <si>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</si>
  <si>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</si>
  <si>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</si>
  <si>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</si>
  <si>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</si>
  <si>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</si>
  <si>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</si>
  <si>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</si>
  <si>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</si>
  <si>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</si>
  <si>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</si>
  <si>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</si>
  <si>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</si>
  <si>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</si>
  <si>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</si>
  <si>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</si>
  <si>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</si>
  <si>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</si>
  <si>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</si>
  <si>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</si>
  <si>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</si>
  <si>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</si>
  <si>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</si>
  <si>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</si>
  <si>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</si>
  <si>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</si>
  <si>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</si>
  <si>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</si>
  <si>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</si>
  <si>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</si>
  <si>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</si>
  <si>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</si>
  <si>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</si>
  <si>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</si>
  <si>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</si>
  <si>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</si>
  <si>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</si>
  <si>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</si>
  <si>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</si>
  <si>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</si>
  <si>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</si>
  <si>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</si>
  <si>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</si>
  <si>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</si>
  <si>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</si>
  <si>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</si>
  <si>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</si>
  <si>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</si>
  <si>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</si>
  <si>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</si>
  <si>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</si>
  <si>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</si>
  <si>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</si>
  <si>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</si>
  <si>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</si>
  <si>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</si>
  <si>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</si>
  <si>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</si>
  <si>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</si>
  <si>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</si>
  <si>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</si>
  <si>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</si>
  <si>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</si>
  <si>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</si>
  <si>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</si>
  <si>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</si>
  <si>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</si>
  <si>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</si>
  <si>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</si>
  <si>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</si>
  <si>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</si>
  <si>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</si>
  <si>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</si>
  <si>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</si>
  <si>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</si>
  <si>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</si>
  <si>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</si>
  <si>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</si>
  <si>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</si>
  <si>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</si>
  <si>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</si>
  <si>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</si>
  <si>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</si>
  <si>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</si>
  <si>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</si>
  <si>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</si>
  <si>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</si>
  <si>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</si>
  <si>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</si>
  <si>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</si>
  <si>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</si>
  <si>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</si>
  <si>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</si>
  <si>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</si>
  <si>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</si>
  <si>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</si>
  <si>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</si>
  <si>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</si>
  <si>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</si>
  <si>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</si>
  <si>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</si>
  <si>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</si>
  <si>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</si>
  <si>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</si>
  <si>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</si>
  <si>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</si>
  <si>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</si>
  <si>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</si>
  <si>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</si>
  <si>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</si>
  <si>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</si>
  <si>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</si>
  <si>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</si>
  <si>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</si>
  <si>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</si>
  <si>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</si>
  <si>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</si>
  <si>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</si>
  <si>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</si>
  <si>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</si>
  <si>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</si>
  <si>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</si>
  <si>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</si>
  <si>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</si>
  <si>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</si>
  <si>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</si>
  <si>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</si>
  <si>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</si>
  <si>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</si>
  <si>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</si>
  <si>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</si>
  <si>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</si>
  <si>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</si>
  <si>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</si>
  <si>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</si>
  <si>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</si>
  <si>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</si>
  <si>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</si>
  <si>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</si>
  <si>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</si>
  <si>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</si>
  <si>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</si>
  <si>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</si>
  <si>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</si>
  <si>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</si>
  <si>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</si>
  <si>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</si>
  <si>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</si>
  <si>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</si>
  <si>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</si>
  <si>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</si>
  <si>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</si>
  <si>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</si>
  <si>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</si>
  <si>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</si>
  <si>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</si>
  <si>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</si>
  <si>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</si>
  <si>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</si>
  <si>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</si>
  <si>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</si>
  <si>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</si>
  <si>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</si>
  <si>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</si>
  <si>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</si>
  <si>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</si>
  <si>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</si>
  <si>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</si>
  <si>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</si>
  <si>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</si>
  <si>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</si>
  <si>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</si>
  <si>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</si>
  <si>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</si>
  <si>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</si>
  <si>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</si>
  <si>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</si>
  <si>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</si>
  <si>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</si>
  <si>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</si>
  <si>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</si>
  <si>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</si>
  <si>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</si>
  <si>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</si>
  <si>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</si>
  <si>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</si>
  <si>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</si>
  <si>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</si>
  <si>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</si>
  <si>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</si>
  <si>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</si>
  <si>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</si>
  <si>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</si>
  <si>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</si>
  <si>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</si>
  <si>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</si>
  <si>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</si>
  <si>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</si>
  <si>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</si>
  <si>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</si>
  <si>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</si>
  <si>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</si>
  <si>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</si>
  <si>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</si>
  <si>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</si>
  <si>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</si>
  <si>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</si>
  <si>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</si>
  <si>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</si>
  <si>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</si>
  <si>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</si>
  <si>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</si>
  <si>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</si>
  <si>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</si>
  <si>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</si>
  <si>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</si>
  <si>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</si>
  <si>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</si>
  <si>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</si>
  <si>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</si>
  <si>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</si>
  <si>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</si>
  <si>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</si>
  <si>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</si>
  <si>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</si>
  <si>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</si>
  <si>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</si>
  <si>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</si>
  <si>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</si>
  <si>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</si>
  <si>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</si>
  <si>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</si>
  <si>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</si>
  <si>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</si>
  <si>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</si>
  <si>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</si>
  <si>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</si>
  <si>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</si>
  <si>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</si>
  <si>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</si>
  <si>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</si>
  <si>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</si>
  <si>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</si>
  <si>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</si>
  <si>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</si>
  <si>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</si>
  <si>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</si>
  <si>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</si>
  <si>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</si>
  <si>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</si>
  <si>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</si>
  <si>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</si>
  <si>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</si>
  <si>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</si>
  <si>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</si>
  <si>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</si>
  <si>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</si>
  <si>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</si>
  <si>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</si>
  <si>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</si>
  <si>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</si>
  <si>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</si>
  <si>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</si>
  <si>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</si>
  <si>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</si>
  <si>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</si>
  <si>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</si>
  <si>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</si>
  <si>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</si>
  <si>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</si>
  <si>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</si>
  <si>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</si>
  <si>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</si>
  <si>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</si>
  <si>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</si>
  <si>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</si>
  <si>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</si>
  <si>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</si>
  <si>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</si>
  <si>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</si>
  <si>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</si>
  <si>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LLEIDA</t>
  </si>
  <si>
    <t>Resumenes por Partidos Judiciales</t>
  </si>
  <si>
    <t>SEU D'URGELL,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</si>
</sst>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5IjVMWk/rGjFbngfRRcODnfBSC5AQ68o11urdTpitzbeos8tE0zHj8YZuwxPG2q9Wuk3TgG/8tQ0ixxTejkPw==" saltValue="e+2Atx7cfCqSANECKbB0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v>
      </c>
      <c r="D10" s="225">
        <f>IF(ISNUMBER(Datos!I10),Datos!I10," - ")</f>
        <v>24</v>
      </c>
      <c r="E10" s="226">
        <f>IF(ISNUMBER(Datos!J10),Datos!J10," - ")</f>
        <v>2</v>
      </c>
      <c r="F10" s="226">
        <f>IF(ISNUMBER(Datos!K10),Datos!K10," - ")</f>
        <v>1</v>
      </c>
      <c r="G10" s="1034" t="str">
        <f>IF(Datos!E10&lt;&gt;"",Datos!E10,Datos!D10)</f>
        <v>37</v>
      </c>
      <c r="H10" s="227">
        <f>IF(ISNUMBER(Datos!L10),Datos!L10," - ")</f>
        <v>25</v>
      </c>
      <c r="I10" s="1044" t="str">
        <f>IF(ISNUMBER(Datos!AS10/Datos!BM10),Datos!AS10/Datos!BM10," - ")</f>
        <v xml:space="preserve"> - </v>
      </c>
      <c r="J10" s="1045">
        <f>IF(ISNUMBER(Datos!BY10/Datos!CN10),Datos!BY10/Datos!CN10," - ")</f>
        <v>0</v>
      </c>
      <c r="K10" s="230">
        <f t="shared" ref="K10:K12" si="1">IF(ISNUMBER((E10-F10)/C10),(E10-F10)/C10," - ")</f>
        <v>4.1666666666666664E-2</v>
      </c>
      <c r="L10" s="1025">
        <f>IF(ISNUMBER(NºAsuntos!I10/NºAsuntos!G10),(NºAsuntos!I10/NºAsuntos!G10)*11," - ")</f>
        <v>275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25.426229508196723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v>
      </c>
      <c r="D13" s="1049">
        <f>SUBTOTAL(9,D9:D12)</f>
        <v>24</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662</v>
      </c>
      <c r="D16" s="225">
        <f>IF(ISNUMBER(IF(D_I="SI",Datos!I16,Datos!I16+Datos!AC16)),IF(D_I="SI",Datos!I16,Datos!I16+Datos!AC16)," - ")</f>
        <v>660</v>
      </c>
      <c r="E16" s="226">
        <f>IF(ISNUMBER(IF(D_I="SI",Datos!J16,Datos!J16+Datos!AD16)),IF(D_I="SI",Datos!J16,Datos!J16+Datos!AD16)," - ")</f>
        <v>270</v>
      </c>
      <c r="F16" s="226">
        <f>IF(ISNUMBER(IF(D_I="SI",Datos!K16,Datos!K16+Datos!AE16)),IF(D_I="SI",Datos!K16,Datos!K16+Datos!AE16)," - ")</f>
        <v>319</v>
      </c>
      <c r="G16" s="1034" t="str">
        <f>IF(Datos!E16&lt;&gt;"",Datos!E16,Datos!D16)</f>
        <v>04</v>
      </c>
      <c r="H16" s="227">
        <f>IF(ISNUMBER(IF(D_I="SI",Datos!L16,Datos!L16+Datos!AF16)),IF(D_I="SI",Datos!L16,Datos!L16+Datos!AF16)," - ")</f>
        <v>613</v>
      </c>
      <c r="I16" s="1044" t="str">
        <f>IF(ISNUMBER(Datos!AS16/Datos!BM16),Datos!AS16/Datos!BM16," - ")</f>
        <v xml:space="preserve"> - </v>
      </c>
      <c r="J16" s="1045">
        <f>IF(ISNUMBER(Datos!BY16/Datos!CN16),Datos!BY16/Datos!CN16," - ")</f>
        <v>0</v>
      </c>
      <c r="K16" s="230">
        <f t="shared" si="3"/>
        <v>-7.4018126888217517E-2</v>
      </c>
      <c r="L16" s="1025">
        <f>IF(ISNUMBER(NºAsuntos!I16/NºAsuntos!G16),(NºAsuntos!I16/NºAsuntos!G16)*11," - ")</f>
        <v>21.137931034482758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75</v>
      </c>
      <c r="D17" s="225">
        <f>IF(ISNUMBER(IF(D_I="SI",Datos!I17,Datos!I17+Datos!AC17)),IF(D_I="SI",Datos!I17,Datos!I17+Datos!AC17)," - ")</f>
        <v>74</v>
      </c>
      <c r="E17" s="226">
        <f>IF(ISNUMBER(IF(D_I="SI",Datos!J17,Datos!J17+Datos!AD17)),IF(D_I="SI",Datos!J17,Datos!J17+Datos!AD17)," - ")</f>
        <v>26</v>
      </c>
      <c r="F17" s="226">
        <f>IF(ISNUMBER(IF(D_I="SI",Datos!K17,Datos!K17+Datos!AE17)),IF(D_I="SI",Datos!K17,Datos!K17+Datos!AE17)," - ")</f>
        <v>20</v>
      </c>
      <c r="G17" s="1034" t="str">
        <f>IF(Datos!E17&lt;&gt;"",Datos!E17,Datos!D17)</f>
        <v>37</v>
      </c>
      <c r="H17" s="227">
        <f>IF(ISNUMBER(IF(D_I="SI",Datos!L17,Datos!L17+Datos!AF17)),IF(D_I="SI",Datos!L17,Datos!L17+Datos!AF17)," - ")</f>
        <v>81</v>
      </c>
      <c r="I17" s="1044" t="str">
        <f>IF(ISNUMBER(Datos!AS17/Datos!BM17),Datos!AS17/Datos!BM17," - ")</f>
        <v xml:space="preserve"> - </v>
      </c>
      <c r="J17" s="1045" t="str">
        <f>IF(ISNUMBER((Datos!BY17+Datos!BZ17)/Datos!CN17),(Datos!BY17+Datos!BZ17)/Datos!CN17," - ")</f>
        <v xml:space="preserve"> - </v>
      </c>
      <c r="K17" s="230">
        <f t="shared" si="3"/>
        <v>0.08</v>
      </c>
      <c r="L17" s="1025">
        <f>IF(ISNUMBER(NºAsuntos!I17/NºAsuntos!G17),(NºAsuntos!I17/NºAsuntos!G17)*11," - ")</f>
        <v>44.55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737</v>
      </c>
      <c r="D18" s="1049">
        <f>SUBTOTAL(9,D15:D17)</f>
        <v>734</v>
      </c>
      <c r="E18" s="1050">
        <f>SUBTOTAL(9,E15:E17)</f>
        <v>296</v>
      </c>
      <c r="F18" s="1050">
        <f>SUBTOTAL(9,F15:F17)</f>
        <v>339</v>
      </c>
      <c r="G18" s="1052" t="str">
        <f ca="1">INDIRECT(CONCATENATE("G",ROW()-1))</f>
        <v>37</v>
      </c>
      <c r="H18" s="1053">
        <f ca="1">SUMIF(G$14:G17,G18,H$14:H17)</f>
        <v>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761</v>
      </c>
      <c r="D19" s="1071">
        <f>SUBTOTAL(9,D9:D18)</f>
        <v>758</v>
      </c>
      <c r="E19" s="1072">
        <f>SUBTOTAL(9,E9:E18)</f>
        <v>298</v>
      </c>
      <c r="F19" s="1072">
        <f>SUBTOTAL(9,F9:F18)</f>
        <v>340</v>
      </c>
      <c r="G19" s="1073"/>
      <c r="H19" s="1074">
        <f ca="1">SUMIF(B9:B18,"TOTAL",H9:H18)</f>
        <v>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jHTRqycVhGWwU/ffDc7okF/HaEM38ev3b95tyO7FLJEDpk6chKLWuJGtVYucp77ECTW8FjAQ5bMySSt6NsSVGg==" saltValue="3Op0JaCfhf09tgJawh4Fh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hSCRulGcXxeVerpJG0cNKVlG7u44sfOx7/OOHLgUPC36mEht6/goq/RYXnz16qMBJhXMXFimWsWOYxPAeCBA==" saltValue="b6hNhqxU+qjLv+BRUll+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v>
      </c>
      <c r="J10" s="181">
        <v>2</v>
      </c>
      <c r="K10" s="181">
        <v>1</v>
      </c>
      <c r="L10" s="181">
        <v>25</v>
      </c>
      <c r="M10" s="181">
        <v>1</v>
      </c>
      <c r="N10" s="181">
        <v>0</v>
      </c>
      <c r="O10" s="181">
        <v>0</v>
      </c>
      <c r="P10" s="181">
        <v>1</v>
      </c>
      <c r="Q10" s="181">
        <v>0</v>
      </c>
      <c r="R10" s="181">
        <v>15</v>
      </c>
      <c r="S10" s="181">
        <v>22</v>
      </c>
      <c r="T10" s="181">
        <v>6</v>
      </c>
      <c r="U10" s="181">
        <v>2</v>
      </c>
      <c r="V10" s="181">
        <v>26</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22</v>
      </c>
      <c r="AZ10" s="129">
        <f t="shared" si="0"/>
        <v>6</v>
      </c>
      <c r="BA10" s="129">
        <f t="shared" si="0"/>
        <v>2</v>
      </c>
      <c r="BB10" s="129">
        <f t="shared" si="0"/>
        <v>26</v>
      </c>
      <c r="BC10" s="125">
        <f t="shared" si="0"/>
        <v>1</v>
      </c>
      <c r="BD10" s="126">
        <f>IF(ISNUMBER(BA10/AZ10),BA10/AZ10," - ")</f>
        <v>0.33333333333333331</v>
      </c>
      <c r="BE10" s="127">
        <f>IF(ISNUMBER(BB10/BA10),BB10/BA10, " - ")</f>
        <v>13</v>
      </c>
      <c r="BF10" s="127">
        <f>IF(ISNUMBER(BC10/BA10),BC10/BA10, " - ")</f>
        <v>0.5</v>
      </c>
      <c r="BG10" s="196">
        <f>IF(ISNUMBER((AY10+AZ10)/BA10),(AY10+AZ10)/BA10," - ")</f>
        <v>14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818</v>
      </c>
      <c r="J12" s="183">
        <v>165</v>
      </c>
      <c r="K12" s="183">
        <v>297</v>
      </c>
      <c r="L12" s="183">
        <v>686</v>
      </c>
      <c r="M12" s="183">
        <v>62</v>
      </c>
      <c r="N12" s="183">
        <v>134</v>
      </c>
      <c r="O12" s="181">
        <v>123</v>
      </c>
      <c r="P12" s="183">
        <v>97</v>
      </c>
      <c r="Q12" s="183">
        <v>27</v>
      </c>
      <c r="R12" s="183">
        <v>1252</v>
      </c>
      <c r="S12" s="183">
        <v>815</v>
      </c>
      <c r="T12" s="183">
        <v>225</v>
      </c>
      <c r="U12" s="183">
        <v>316</v>
      </c>
      <c r="V12" s="183">
        <v>724</v>
      </c>
      <c r="W12" s="183">
        <v>75</v>
      </c>
      <c r="X12" s="189">
        <v>125</v>
      </c>
      <c r="Y12" s="191">
        <v>15</v>
      </c>
      <c r="Z12" s="181">
        <v>12</v>
      </c>
      <c r="AA12" s="181">
        <v>8</v>
      </c>
      <c r="AB12" s="181">
        <v>19</v>
      </c>
      <c r="AC12" s="183">
        <v>0</v>
      </c>
      <c r="AD12" s="183">
        <v>0</v>
      </c>
      <c r="AE12" s="183">
        <v>0</v>
      </c>
      <c r="AF12" s="189">
        <v>0</v>
      </c>
      <c r="AG12" s="202">
        <v>14</v>
      </c>
      <c r="AH12" s="183">
        <v>12</v>
      </c>
      <c r="AI12" s="183">
        <v>17</v>
      </c>
      <c r="AJ12" s="203">
        <v>9</v>
      </c>
      <c r="AK12" s="182">
        <v>0</v>
      </c>
      <c r="AL12" s="183">
        <v>0</v>
      </c>
      <c r="AM12" s="183">
        <v>0</v>
      </c>
      <c r="AN12" s="189">
        <v>0</v>
      </c>
      <c r="AO12" s="259">
        <v>2</v>
      </c>
      <c r="AP12" s="155">
        <v>2</v>
      </c>
      <c r="AQ12" s="155">
        <v>2</v>
      </c>
      <c r="AR12" s="154">
        <v>2</v>
      </c>
      <c r="AS12" s="340" t="s">
        <v>794</v>
      </c>
      <c r="AT12" s="203"/>
      <c r="AU12" s="202"/>
      <c r="AV12" s="203"/>
      <c r="AW12" s="202"/>
      <c r="AX12" s="203"/>
      <c r="AY12" s="126">
        <f t="shared" si="1"/>
        <v>829</v>
      </c>
      <c r="AZ12" s="127">
        <f t="shared" si="1"/>
        <v>237</v>
      </c>
      <c r="BA12" s="127">
        <f t="shared" si="1"/>
        <v>333</v>
      </c>
      <c r="BB12" s="127">
        <f t="shared" si="1"/>
        <v>733</v>
      </c>
      <c r="BC12" s="125">
        <f>IF(ISNUMBER(X12),X12," - ")</f>
        <v>125</v>
      </c>
      <c r="BD12" s="126">
        <f t="shared" si="2"/>
        <v>1.4050632911392404</v>
      </c>
      <c r="BE12" s="127">
        <f t="shared" si="3"/>
        <v>2.2012012012012012</v>
      </c>
      <c r="BF12" s="127">
        <f t="shared" si="4"/>
        <v>0.37537537537537535</v>
      </c>
      <c r="BG12" s="196">
        <f t="shared" si="5"/>
        <v>3.2012012012012012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842</v>
      </c>
      <c r="J13" s="184">
        <f t="shared" si="6"/>
        <v>167</v>
      </c>
      <c r="K13" s="184">
        <f t="shared" si="6"/>
        <v>298</v>
      </c>
      <c r="L13" s="184">
        <f t="shared" si="6"/>
        <v>711</v>
      </c>
      <c r="M13" s="184">
        <f t="shared" si="6"/>
        <v>63</v>
      </c>
      <c r="N13" s="184">
        <f t="shared" si="6"/>
        <v>134</v>
      </c>
      <c r="O13" s="184">
        <f t="shared" si="6"/>
        <v>123</v>
      </c>
      <c r="P13" s="184">
        <f t="shared" si="6"/>
        <v>98</v>
      </c>
      <c r="Q13" s="184">
        <f t="shared" si="6"/>
        <v>27</v>
      </c>
      <c r="R13" s="184">
        <f t="shared" si="6"/>
        <v>1267</v>
      </c>
      <c r="S13" s="184">
        <f t="shared" si="6"/>
        <v>837</v>
      </c>
      <c r="T13" s="184">
        <f t="shared" si="6"/>
        <v>231</v>
      </c>
      <c r="U13" s="184">
        <f t="shared" si="6"/>
        <v>318</v>
      </c>
      <c r="V13" s="184">
        <f t="shared" si="6"/>
        <v>750</v>
      </c>
      <c r="W13" s="184">
        <f t="shared" si="6"/>
        <v>76</v>
      </c>
      <c r="X13" s="184">
        <f t="shared" si="6"/>
        <v>125</v>
      </c>
      <c r="Y13" s="184">
        <f t="shared" si="6"/>
        <v>15</v>
      </c>
      <c r="Z13" s="184">
        <f t="shared" si="6"/>
        <v>12</v>
      </c>
      <c r="AA13" s="184">
        <f t="shared" si="6"/>
        <v>8</v>
      </c>
      <c r="AB13" s="184">
        <f t="shared" si="6"/>
        <v>19</v>
      </c>
      <c r="AC13" s="184">
        <f t="shared" si="6"/>
        <v>0</v>
      </c>
      <c r="AD13" s="184">
        <f t="shared" si="6"/>
        <v>0</v>
      </c>
      <c r="AE13" s="184">
        <f t="shared" si="6"/>
        <v>0</v>
      </c>
      <c r="AF13" s="184">
        <f>SUBTOTAL(9,AF9:AF12)</f>
        <v>0</v>
      </c>
      <c r="AG13" s="184">
        <f t="shared" ref="AG13:AT13" si="7">SUBTOTAL(9,AG8:AG12)</f>
        <v>14</v>
      </c>
      <c r="AH13" s="184">
        <f t="shared" si="7"/>
        <v>12</v>
      </c>
      <c r="AI13" s="184">
        <f t="shared" si="7"/>
        <v>17</v>
      </c>
      <c r="AJ13" s="184">
        <f t="shared" si="7"/>
        <v>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851</v>
      </c>
      <c r="AZ13" s="184">
        <f>SUBTOTAL(9,AZ8:AZ12)</f>
        <v>243</v>
      </c>
      <c r="BA13" s="184">
        <f>SUBTOTAL(9,BA8:BA12)</f>
        <v>335</v>
      </c>
      <c r="BB13" s="184">
        <f>SUBTOTAL(9,BB8:BB12)</f>
        <v>759</v>
      </c>
      <c r="BC13" s="184">
        <f>SUBTOTAL(9,BC8:BC12)</f>
        <v>126</v>
      </c>
      <c r="BD13" s="205">
        <f>IF(ISNUMBER(BA13/AZ13),BA13/AZ13," - ")</f>
        <v>1.3786008230452675</v>
      </c>
      <c r="BE13" s="206">
        <f>IF(ISNUMBER(BB13/BA13),BB13/BA13, " - ")</f>
        <v>2.265671641791045</v>
      </c>
      <c r="BF13" s="206">
        <f>IF(ISNUMBER(BC13/BA13),BC13/BA13, " - ")</f>
        <v>0.37611940298507462</v>
      </c>
      <c r="BG13" s="207">
        <f>IF(ISNUMBER((AY13+AZ13)/BA13),(AY13+AZ13)/BA13," - ")</f>
        <v>3.265671641791045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660</v>
      </c>
      <c r="J16" s="183">
        <v>270</v>
      </c>
      <c r="K16" s="183">
        <v>319</v>
      </c>
      <c r="L16" s="183">
        <v>613</v>
      </c>
      <c r="M16" s="183">
        <v>30</v>
      </c>
      <c r="N16" s="183">
        <v>225</v>
      </c>
      <c r="O16" s="181">
        <v>0</v>
      </c>
      <c r="P16" s="183">
        <v>3</v>
      </c>
      <c r="Q16" s="183">
        <v>2</v>
      </c>
      <c r="R16" s="183">
        <v>20</v>
      </c>
      <c r="S16" s="183">
        <v>582</v>
      </c>
      <c r="T16" s="183">
        <v>317</v>
      </c>
      <c r="U16" s="183">
        <v>333</v>
      </c>
      <c r="V16" s="183">
        <v>564</v>
      </c>
      <c r="W16" s="183">
        <v>34</v>
      </c>
      <c r="X16" s="189">
        <v>250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582</v>
      </c>
      <c r="AZ16" s="127">
        <f t="shared" si="9"/>
        <v>317</v>
      </c>
      <c r="BA16" s="127">
        <f t="shared" si="9"/>
        <v>333</v>
      </c>
      <c r="BB16" s="127">
        <f t="shared" si="9"/>
        <v>564</v>
      </c>
      <c r="BC16" s="125">
        <f>IF(ISNUMBER(W16),W16," - ")</f>
        <v>34</v>
      </c>
      <c r="BD16" s="126">
        <f t="shared" ref="BD16" si="11">IF(ISNUMBER(BA16/AZ16),BA16/AZ16," - ")</f>
        <v>1.0504731861198737</v>
      </c>
      <c r="BE16" s="127">
        <f t="shared" ref="BE16" si="12">IF(ISNUMBER(BB16/BA16),BB16/BA16, " - ")</f>
        <v>1.6936936936936937</v>
      </c>
      <c r="BF16" s="127">
        <f t="shared" ref="BF16" si="13">IF(ISNUMBER(BC16/BA16),BC16/BA16, " - ")</f>
        <v>0.1021021021021021</v>
      </c>
      <c r="BG16" s="196">
        <f t="shared" si="10"/>
        <v>2.6996996996996998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74</v>
      </c>
      <c r="J17" s="183">
        <v>26</v>
      </c>
      <c r="K17" s="183">
        <v>20</v>
      </c>
      <c r="L17" s="183">
        <v>81</v>
      </c>
      <c r="M17" s="183">
        <v>2</v>
      </c>
      <c r="N17" s="183">
        <v>16</v>
      </c>
      <c r="O17" s="183">
        <v>0</v>
      </c>
      <c r="P17" s="183">
        <v>0</v>
      </c>
      <c r="Q17" s="183">
        <v>0</v>
      </c>
      <c r="R17" s="183">
        <v>0</v>
      </c>
      <c r="S17" s="183">
        <v>51</v>
      </c>
      <c r="T17" s="183">
        <v>54</v>
      </c>
      <c r="U17" s="183">
        <v>28</v>
      </c>
      <c r="V17" s="183">
        <v>78</v>
      </c>
      <c r="W17" s="183">
        <v>9</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51</v>
      </c>
      <c r="AZ17" s="129">
        <f t="shared" si="14"/>
        <v>54</v>
      </c>
      <c r="BA17" s="129">
        <f t="shared" si="14"/>
        <v>28</v>
      </c>
      <c r="BB17" s="129">
        <f t="shared" si="14"/>
        <v>78</v>
      </c>
      <c r="BC17" s="125">
        <f>IF(ISNUMBER(W17),W17," - ")</f>
        <v>9</v>
      </c>
      <c r="BD17" s="126">
        <f>IF(ISNUMBER(BA17/AZ17),BA17/AZ17," - ")</f>
        <v>0.51851851851851849</v>
      </c>
      <c r="BE17" s="127">
        <f>IF(ISNUMBER(BB17/BA17),BB17/BA17, " - ")</f>
        <v>2.7857142857142856</v>
      </c>
      <c r="BF17" s="127">
        <f>IF(ISNUMBER(BC17/BA17),BC17/BA17, " - ")</f>
        <v>0.32142857142857145</v>
      </c>
      <c r="BG17" s="196">
        <f>IF(ISNUMBER((AY17+AZ17)/BA17),(AY17+AZ17)/BA17," - ")</f>
        <v>3.75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734</v>
      </c>
      <c r="J18" s="184">
        <f t="shared" si="15"/>
        <v>296</v>
      </c>
      <c r="K18" s="184">
        <f t="shared" si="15"/>
        <v>339</v>
      </c>
      <c r="L18" s="184">
        <f t="shared" si="15"/>
        <v>694</v>
      </c>
      <c r="M18" s="184">
        <f t="shared" si="15"/>
        <v>32</v>
      </c>
      <c r="N18" s="184">
        <f t="shared" si="15"/>
        <v>241</v>
      </c>
      <c r="O18" s="184">
        <f t="shared" si="15"/>
        <v>0</v>
      </c>
      <c r="P18" s="184">
        <f t="shared" si="15"/>
        <v>3</v>
      </c>
      <c r="Q18" s="184">
        <f t="shared" si="15"/>
        <v>2</v>
      </c>
      <c r="R18" s="184">
        <f t="shared" si="15"/>
        <v>20</v>
      </c>
      <c r="S18" s="184">
        <f t="shared" si="15"/>
        <v>633</v>
      </c>
      <c r="T18" s="184">
        <f t="shared" si="15"/>
        <v>371</v>
      </c>
      <c r="U18" s="184">
        <f t="shared" si="15"/>
        <v>361</v>
      </c>
      <c r="V18" s="184">
        <f t="shared" si="15"/>
        <v>642</v>
      </c>
      <c r="W18" s="184">
        <f t="shared" si="15"/>
        <v>43</v>
      </c>
      <c r="X18" s="184">
        <f t="shared" si="15"/>
        <v>265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633</v>
      </c>
      <c r="AZ18" s="184">
        <f>SUBTOTAL(9,AZ14:AZ17)</f>
        <v>371</v>
      </c>
      <c r="BA18" s="184">
        <f>SUBTOTAL(9,BA14:BA17)</f>
        <v>361</v>
      </c>
      <c r="BB18" s="184">
        <f>SUBTOTAL(9,BB14:BB17)</f>
        <v>642</v>
      </c>
      <c r="BC18" s="184">
        <f>SUBTOTAL(9,BC14:BC17)</f>
        <v>43</v>
      </c>
      <c r="BD18" s="205">
        <f>IF(ISNUMBER(BA18/AZ18),BA18/AZ18," - ")</f>
        <v>0.97304582210242585</v>
      </c>
      <c r="BE18" s="206">
        <f>IF(ISNUMBER(BB18/BA18),BB18/BA18, " - ")</f>
        <v>1.7783933518005539</v>
      </c>
      <c r="BF18" s="206">
        <f>IF(ISNUMBER(BC18/BA18),BC18/BA18, " - ")</f>
        <v>0.11911357340720222</v>
      </c>
      <c r="BG18" s="207">
        <f>IF(ISNUMBER((AY18+AZ18)/BA18),(AY18+AZ18)/BA18," - ")</f>
        <v>2.7811634349030472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1576</v>
      </c>
      <c r="J19" s="134">
        <f t="shared" si="18"/>
        <v>463</v>
      </c>
      <c r="K19" s="134">
        <f t="shared" si="18"/>
        <v>637</v>
      </c>
      <c r="L19" s="134">
        <f t="shared" si="18"/>
        <v>1405</v>
      </c>
      <c r="M19" s="134">
        <f t="shared" si="18"/>
        <v>95</v>
      </c>
      <c r="N19" s="134">
        <f t="shared" si="18"/>
        <v>375</v>
      </c>
      <c r="O19" s="134">
        <f t="shared" si="18"/>
        <v>123</v>
      </c>
      <c r="P19" s="134">
        <f t="shared" si="18"/>
        <v>101</v>
      </c>
      <c r="Q19" s="134">
        <f t="shared" si="18"/>
        <v>29</v>
      </c>
      <c r="R19" s="134">
        <f t="shared" si="18"/>
        <v>1287</v>
      </c>
      <c r="S19" s="134">
        <f t="shared" si="18"/>
        <v>1470</v>
      </c>
      <c r="T19" s="134">
        <f t="shared" si="18"/>
        <v>602</v>
      </c>
      <c r="U19" s="134">
        <f t="shared" si="18"/>
        <v>679</v>
      </c>
      <c r="V19" s="134">
        <f t="shared" si="18"/>
        <v>1392</v>
      </c>
      <c r="W19" s="134">
        <f t="shared" si="18"/>
        <v>119</v>
      </c>
      <c r="X19" s="134">
        <f t="shared" si="18"/>
        <v>390</v>
      </c>
      <c r="Y19" s="134">
        <f t="shared" si="18"/>
        <v>15</v>
      </c>
      <c r="Z19" s="134">
        <f t="shared" si="18"/>
        <v>12</v>
      </c>
      <c r="AA19" s="134">
        <f t="shared" si="18"/>
        <v>8</v>
      </c>
      <c r="AB19" s="134">
        <f t="shared" si="18"/>
        <v>19</v>
      </c>
      <c r="AC19" s="134">
        <f t="shared" si="18"/>
        <v>0</v>
      </c>
      <c r="AD19" s="134">
        <f t="shared" si="18"/>
        <v>0</v>
      </c>
      <c r="AE19" s="134">
        <f t="shared" si="18"/>
        <v>0</v>
      </c>
      <c r="AF19" s="134">
        <f t="shared" si="18"/>
        <v>0</v>
      </c>
      <c r="AG19" s="134">
        <f t="shared" si="18"/>
        <v>14</v>
      </c>
      <c r="AH19" s="134">
        <f t="shared" si="18"/>
        <v>12</v>
      </c>
      <c r="AI19" s="134">
        <f t="shared" si="18"/>
        <v>17</v>
      </c>
      <c r="AJ19" s="134">
        <f t="shared" si="18"/>
        <v>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1484</v>
      </c>
      <c r="AZ19" s="134">
        <f>SUBTOTAL(9,AZ9:AZ18)</f>
        <v>614</v>
      </c>
      <c r="BA19" s="134">
        <f>SUBTOTAL(9,BA9:BA18)</f>
        <v>696</v>
      </c>
      <c r="BB19" s="134">
        <f>SUBTOTAL(9,BB9:BB18)</f>
        <v>1401</v>
      </c>
      <c r="BC19" s="135">
        <f>SUBTOTAL(9,BC9:BC18)</f>
        <v>169</v>
      </c>
      <c r="BD19" s="213">
        <f>IF(ISNUMBER(BA19/AZ19),BA19/AZ19," - ")</f>
        <v>1.1335504885993486</v>
      </c>
      <c r="BE19" s="210">
        <f>IF(ISNUMBER(BB19/BA19),BB19/BA19, " - ")</f>
        <v>2.0129310344827585</v>
      </c>
      <c r="BF19" s="210">
        <f>IF(ISNUMBER(BC19/BA19),BC19/BA19, " - ")</f>
        <v>0.24281609195402298</v>
      </c>
      <c r="BG19" s="135">
        <f>IF(ISNUMBER((AY19+AZ19)/BA19),(AY19+AZ19)/BA19," - ")</f>
        <v>3.014367816091954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cCd9L0Iv/89dJ+5Pl9cA9Bgfh6IBMYqA6yK5nkvlgRjXmWKCOiplfcgZgU9M+1W2NguU4Wg05iSUMl7+eHazg==" saltValue="UB7DBZdQJOZSTW6tvP7q8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DCBG42+8YzrayOlELgHkzL/KppOwbEfeqQf1bXRIpjHKj3Q9eLBRM4pnSCu/m7a7rfqf0I/a0FT5Dlml5+8g==" saltValue="O4J8MFe0MFjecDCDxwx2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SEU D'URGELL,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v>
      </c>
      <c r="G10" s="333">
        <f>IF(ISNUMBER(Datos!I10),Datos!I10," - ")</f>
        <v>24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25</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7.1428571428571425E-2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v>
      </c>
      <c r="AI12" s="334" t="str">
        <f>IF(ISNUMBER(Datos!CD12),Datos!CD12,"-")</f>
        <v>-</v>
      </c>
      <c r="AJ12" s="334" t="str">
        <f>IF(ISNUMBER(Datos!EN12),Datos!EN12," - ")</f>
        <v xml:space="preserve"> - </v>
      </c>
      <c r="AK12" s="334"/>
      <c r="AL12" s="479"/>
      <c r="AM12" s="335">
        <f>IF(ISNUMBER(Datos!R12),Datos!R12," - ")</f>
        <v>1252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v>
      </c>
      <c r="BD12" s="229">
        <f>IF(ISNUMBER(Datos!N12),Datos!N12," - ")</f>
        <v>134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1.7231638418079096</v>
      </c>
      <c r="BH12" s="260">
        <f>IF(ISNUMBER(((IF(J_V="SI",Datos!L12/Datos!K12,(Datos!L12+Datos!AB12)/(Datos!K12+Datos!AA12)))*11)/factor_trimestre),((IF(J_V="SI",Datos!L12/Datos!K12,(Datos!L12+Datos!AB12)/(Datos!K12+Datos!AA12)))*11)/factor_trimestre," - ")</f>
        <v>6.9344262295081975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5.9221658206429779E-2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24</v>
      </c>
      <c r="G13" s="898">
        <f t="shared" si="0"/>
        <v>24</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27</v>
      </c>
      <c r="AD13" s="899">
        <f t="shared" si="1"/>
        <v>0</v>
      </c>
      <c r="AE13" s="899">
        <f t="shared" si="1"/>
        <v>0</v>
      </c>
      <c r="AF13" s="899">
        <f t="shared" si="1"/>
        <v>25</v>
      </c>
      <c r="AG13" s="899">
        <f t="shared" si="1"/>
        <v>0</v>
      </c>
      <c r="AH13" s="899">
        <f t="shared" si="1"/>
        <v>19</v>
      </c>
      <c r="AI13" s="899">
        <f t="shared" si="1"/>
        <v>0</v>
      </c>
      <c r="AJ13" s="899">
        <f t="shared" si="1"/>
        <v>0</v>
      </c>
      <c r="AK13" s="899">
        <f t="shared" si="1"/>
        <v>0</v>
      </c>
      <c r="AL13" s="899">
        <f t="shared" si="1"/>
        <v>0</v>
      </c>
      <c r="AM13" s="899">
        <f t="shared" si="1"/>
        <v>1267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63</v>
      </c>
      <c r="BD13" s="899">
        <f t="shared" si="1"/>
        <v>134</v>
      </c>
      <c r="BE13" s="899">
        <f t="shared" si="1"/>
        <v>0</v>
      </c>
      <c r="BF13" s="899">
        <f t="shared" si="1"/>
        <v>0</v>
      </c>
      <c r="BG13" s="899">
        <f>IF(ISNUMBER(Datos!K13/Datos!J13),Datos!K13/Datos!J13," - ")</f>
        <v>1.784431137724551</v>
      </c>
      <c r="BH13" s="903">
        <f>IF(ISNUMBER(((Datos!L13/Datos!K13)*11)/factor_trimestre),((Datos!L13/Datos!K13)*11)/factor_trimestre," - ")</f>
        <v>7.1577181208053702</v>
      </c>
      <c r="BI13" s="899">
        <f>IF(ISNUMBER('Resol  Asuntos'!D13/NºAsuntos!G13),'Resol  Asuntos'!D13/NºAsuntos!G13," - ")</f>
        <v>0.20588235294117646</v>
      </c>
      <c r="BJ13" s="899" t="str">
        <f>IF(ISNUMBER(Datos!CI13/Datos!CJ13),Datos!CI13/Datos!CJ13," - ")</f>
        <v xml:space="preserve"> - </v>
      </c>
      <c r="BK13" s="899">
        <f>SUBTOTAL(9,BK8:BK12)</f>
        <v>0</v>
      </c>
      <c r="BL13" s="899">
        <f>IF(ISNUMBER((I13-AB13+L13)/(F13)),(I13-AB13+L13)/(F13)," - ")</f>
        <v>-4.1666666666666664E-2</v>
      </c>
      <c r="BM13" s="904">
        <f>SUBTOTAL(9,BM9:BM12)</f>
        <v>0.1306502296350012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662</v>
      </c>
      <c r="G16" s="598">
        <f>IF(ISNUMBER(IF(D_I="SI",Datos!I16,Datos!I16+Datos!AC16)),IF(D_I="SI",Datos!I16,Datos!I16+Datos!AC16)," - ")</f>
        <v>660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319</v>
      </c>
      <c r="AC16" s="226">
        <f>IF(ISNUMBER(Datos!Q16),Datos!Q16," - ")</f>
        <v>2</v>
      </c>
      <c r="AD16" s="334"/>
      <c r="AE16" s="484"/>
      <c r="AF16" s="596">
        <f>IF(ISNUMBER(IF(D_I="SI",Datos!L16,Datos!L16+Datos!AF16)),IF(D_I="SI",Datos!L16,Datos!L16+Datos!AF16)," - ")</f>
        <v>613</v>
      </c>
      <c r="AG16" s="334"/>
      <c r="AH16" s="334"/>
      <c r="AI16" s="334"/>
      <c r="AJ16" s="334"/>
      <c r="AK16" s="334"/>
      <c r="AL16" s="479"/>
      <c r="AM16" s="335">
        <f>IF(ISNUMBER(Datos!R16),Datos!R16," - ")</f>
        <v>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225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1.1814814814814816</v>
      </c>
      <c r="BH16" s="260">
        <f>IF(ISNUMBER(((IF(D_I="SI",Datos!L16/Datos!K16,(Datos!L16+Datos!AF16)/(Datos!K16+Datos!AE16)))*11)/factor_trimestre),((IF(D_I="SI",Datos!L16/Datos!K16,(Datos!L16+Datos!AF16)/(Datos!K16+Datos!AE16)))*11)/factor_trimestre," - ")</f>
        <v>5.7648902821316614</v>
      </c>
      <c r="BI16" s="243">
        <f>IF(ISNUMBER('Resol  Asuntos'!D16/NºAsuntos!G16),'Resol  Asuntos'!D16/NºAsuntos!G16," - ")</f>
        <v>9.4043887147335428E-2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v>
      </c>
      <c r="AC17" s="226">
        <f>IF(ISNUMBER(Datos!Q17),Datos!Q17," - ")</f>
        <v>0</v>
      </c>
      <c r="AD17" s="334"/>
      <c r="AE17" s="484"/>
      <c r="AF17" s="332">
        <f>IF(ISNUMBER(Datos!L17),Datos!L17,"-")</f>
        <v>81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0.76923076923076927</v>
      </c>
      <c r="BH17" s="260">
        <f>IF(ISNUMBER(((IF(D_I="SI",Datos!L17/Datos!K17,(Datos!L17+Datos!AF17)/(Datos!K17+Datos!AE17)))*11)/factor_trimestre),((IF(D_I="SI",Datos!L17/Datos!K17,(Datos!L17+Datos!AF17)/(Datos!K17+Datos!AE17)))*11)/factor_trimestre," - ")</f>
        <v>12.15</v>
      </c>
      <c r="BI17" s="243">
        <f>IF(ISNUMBER('Resol  Asuntos'!D17/NºAsuntos!G17),'Resol  Asuntos'!D17/NºAsuntos!G17," - ")</f>
        <v>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662</v>
      </c>
      <c r="G18" s="898">
        <f>SUBTOTAL(9,G15:G17)</f>
        <v>734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339</v>
      </c>
      <c r="AC18" s="899">
        <f t="shared" si="4"/>
        <v>2</v>
      </c>
      <c r="AD18" s="899">
        <f t="shared" si="4"/>
        <v>0</v>
      </c>
      <c r="AE18" s="899">
        <f t="shared" si="4"/>
        <v>0</v>
      </c>
      <c r="AF18" s="899">
        <f t="shared" si="4"/>
        <v>694</v>
      </c>
      <c r="AG18" s="899">
        <f t="shared" si="4"/>
        <v>0</v>
      </c>
      <c r="AH18" s="899">
        <f t="shared" si="4"/>
        <v>0</v>
      </c>
      <c r="AI18" s="899">
        <f t="shared" si="4"/>
        <v>0</v>
      </c>
      <c r="AJ18" s="899">
        <f t="shared" si="4"/>
        <v>0</v>
      </c>
      <c r="AK18" s="899">
        <f t="shared" si="4"/>
        <v>0</v>
      </c>
      <c r="AL18" s="899">
        <f t="shared" si="4"/>
        <v>0</v>
      </c>
      <c r="AM18" s="899">
        <f t="shared" si="4"/>
        <v>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v>
      </c>
      <c r="BD18" s="899">
        <f t="shared" si="4"/>
        <v>241</v>
      </c>
      <c r="BE18" s="899">
        <f t="shared" si="4"/>
        <v>0</v>
      </c>
      <c r="BF18" s="899">
        <f t="shared" si="4"/>
        <v>0</v>
      </c>
      <c r="BG18" s="899">
        <f>IF(ISNUMBER(Datos!K18/Datos!J18),Datos!K18/Datos!J18," - ")</f>
        <v>1.1452702702702702</v>
      </c>
      <c r="BH18" s="903">
        <f>IF(ISNUMBER(((Datos!L18/Datos!K18)*11)/factor_trimestre),((Datos!L18/Datos!K18)*11)/factor_trimestre," - ")</f>
        <v>6.1415929203539834</v>
      </c>
      <c r="BI18" s="899">
        <f>SUBTOTAL(9,BI15:BI17)</f>
        <v>0.19404388714733545</v>
      </c>
      <c r="BJ18" s="899">
        <f>SUBTOTAL(9,BJ15:BJ17)</f>
        <v>0</v>
      </c>
      <c r="BK18" s="899">
        <f>SUBTOTAL(9,BK15:BK17)</f>
        <v>0</v>
      </c>
      <c r="BL18" s="899">
        <f>IF(ISNUMBER((I18-AB18+L18)/(F18)),(I18-AB18+L18)/(F18)," - ")</f>
        <v>-0.51208459214501512</v>
      </c>
      <c r="BM18" s="905">
        <f>IF(ISNUMBER((Datos!P18-Datos!Q18)/(Datos!R18-Datos!P18+Datos!Q18)),(Datos!P18-Datos!Q18)/(Datos!R18-Datos!P18+Datos!Q18)," - ")</f>
        <v>5.2631578947368418E-2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686</v>
      </c>
      <c r="G19" s="820">
        <f t="shared" si="6"/>
        <v>758</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101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340</v>
      </c>
      <c r="AC19" s="821">
        <f t="shared" si="7"/>
        <v>29</v>
      </c>
      <c r="AD19" s="821">
        <f t="shared" si="7"/>
        <v>0</v>
      </c>
      <c r="AE19" s="821">
        <f t="shared" si="7"/>
        <v>0</v>
      </c>
      <c r="AF19" s="828">
        <f t="shared" si="7"/>
        <v>719</v>
      </c>
      <c r="AG19" s="828">
        <f t="shared" si="7"/>
        <v>0</v>
      </c>
      <c r="AH19" s="828">
        <f t="shared" si="7"/>
        <v>19</v>
      </c>
      <c r="AI19" s="828">
        <f t="shared" si="7"/>
        <v>0</v>
      </c>
      <c r="AJ19" s="821">
        <f t="shared" si="7"/>
        <v>0</v>
      </c>
      <c r="AK19" s="828">
        <f t="shared" si="7"/>
        <v>0</v>
      </c>
      <c r="AL19" s="828">
        <f t="shared" si="7"/>
        <v>0</v>
      </c>
      <c r="AM19" s="828">
        <f t="shared" si="7"/>
        <v>1287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95</v>
      </c>
      <c r="BD19" s="820">
        <f t="shared" si="7"/>
        <v>375</v>
      </c>
      <c r="BE19" s="820">
        <f t="shared" si="7"/>
        <v>0</v>
      </c>
      <c r="BF19" s="830">
        <f t="shared" si="7"/>
        <v>0</v>
      </c>
      <c r="BG19" s="915">
        <f>IF(ISNUMBER(Datos!K19/Datos!J19),Datos!K19/Datos!J19," - ")</f>
        <v>1.3758099352051836</v>
      </c>
      <c r="BH19" s="915">
        <f>IF(ISNUMBER(((Datos!L19/Datos!K19)*11)/factor_trimestre),((Datos!L19/Datos!K19)*11)/factor_trimestre," - ")</f>
        <v>6.616954474097331</v>
      </c>
      <c r="BI19" s="813">
        <f>IF(ISNUMBER(Datos!J19/Datos!I19),Datos!J19/Datos!I19," - ")</f>
        <v>0.29378172588832485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-0.49562682215743442</v>
      </c>
      <c r="BM19" s="889">
        <f>IF(ISNUMBER((Datos!P19-Datos!Q19+R19)/(Datos!R19-Datos!P19+Datos!Q19-R19)),(Datos!P19-Datos!Q19+R19)/(Datos!R19-Datos!P19+Datos!Q19-R19)," - ")</f>
        <v>5.9259259259259262E-2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303.2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368.34947174298122</v>
      </c>
      <c r="G21" s="552">
        <f>IF(ISNUMBER(STDEV(G8:G18)),STDEV(G8:G18),"-")</f>
        <v>361.01689711147873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176.49645888799014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27.295909339435216</v>
      </c>
      <c r="BD21" s="551"/>
      <c r="BE21" s="551">
        <f>IF(ISNUMBER(STDEV(BE8:BE18)),STDEV(BE8:BE18),"-")</f>
        <v>0</v>
      </c>
      <c r="BF21" s="556">
        <f>IF(ISNUMBER(STDEV(BF8:BF18)),STDEV(BF8:BF18),"-")</f>
        <v>0</v>
      </c>
      <c r="BG21" s="775">
        <f>IF(ISNUMBER(STDEV(BG8:BG18)),STDEV(BG8:BG18),"-")</f>
        <v>0.50845078806206212</v>
      </c>
      <c r="BH21" s="776">
        <f>IF(ISNUMBER(STDEV(BH8:BH18)),STDEV(BH8:BH18),"-")</f>
        <v>27.601181737551538</v>
      </c>
      <c r="BI21" s="249">
        <f>IF(ISNUMBER(STDEV(BI8:BI18)),STDEV(BI8:BI18),"-")</f>
        <v>5.9678857477562415E-2</v>
      </c>
      <c r="BJ21" s="230" t="str">
        <f>IF(ISNUMBER(BL21/BM21),BL21/BM21," - ")</f>
        <v xml:space="preserve"> - </v>
      </c>
      <c r="BK21" s="575"/>
      <c r="BL21" s="559">
        <f>IF(ISNUMBER(STDEV(BL8:BL18)),STDEV(BL8:BL18),"-")</f>
        <v>0.33263570509744816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jLzgUeppQYVAuVdFsKwT49p2wZsjyfF0yK5rQaPU9A7TjvdNnVxTc7KkudcKmQk0WIpOY+5/80tQ7rekQwkFhA==" saltValue="VFuGUj89tC4W7TH6dfHA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LLEIDA  Resumenes por Partidos Judiciales  SEU D'URGELL,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v>
      </c>
      <c r="G10" s="225">
        <f>IF(ISNUMBER(Datos!I10),Datos!I10," - ")</f>
        <v>24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25</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7.1428571428571425E-2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v>
      </c>
      <c r="AA12" s="332" t="str">
        <f>IF(ISNUMBER(IF(J_V="SI",Datos!L12,Datos!L12+Datos!AB12)-IF(Monitorios="SI",Datos!CD12,0)),
                          IF(J_V="SI",Datos!L12,Datos!L12+Datos!AB12)-IF(Monitorios="SI",Datos!CD12,0),
                          " - ")</f>
        <v xml:space="preserve"> - </v>
      </c>
      <c r="AB12" s="334"/>
      <c r="AC12" s="334"/>
      <c r="AD12" s="484"/>
      <c r="AE12" s="484">
        <f>IF(ISNUMBER(Datos!R12),Datos!R12," - ")</f>
        <v>1252</v>
      </c>
      <c r="AF12" s="229" t="str">
        <f>IF(ISNUMBER(Datos!BV12),Datos!BV12," - ")</f>
        <v xml:space="preserve"> - </v>
      </c>
      <c r="AG12" s="225" t="str">
        <f>IF(ISNUMBER(Datos!DV12),Datos!DV12," - ")</f>
        <v xml:space="preserve"> - </v>
      </c>
      <c r="AH12" s="298"/>
      <c r="AI12" s="227"/>
      <c r="AJ12" s="225">
        <f>IF(ISNUMBER(Datos!M12),Datos!M12," - ")</f>
        <v>62</v>
      </c>
      <c r="AK12" s="229">
        <f>IF(ISNUMBER(Datos!N12),Datos!N12," - ")</f>
        <v>134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6.9344262295081975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5.9221658206429779E-2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24</v>
      </c>
      <c r="G13" s="898">
        <f>SUBTOTAL(9,G8:G12)</f>
        <v>24</v>
      </c>
      <c r="H13" s="908"/>
      <c r="I13" s="898">
        <f t="shared" ref="I13:N13" si="0">SUBTOTAL(9,I8:I12)</f>
        <v>0</v>
      </c>
      <c r="J13" s="867">
        <f t="shared" si="0"/>
        <v>0</v>
      </c>
      <c r="K13" s="908">
        <f t="shared" si="0"/>
        <v>0</v>
      </c>
      <c r="L13" s="908">
        <f t="shared" si="0"/>
        <v>0</v>
      </c>
      <c r="M13" s="908">
        <f t="shared" si="0"/>
        <v>0</v>
      </c>
      <c r="N13" s="908">
        <f t="shared" si="0"/>
        <v>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27</v>
      </c>
      <c r="AA13" s="900">
        <f t="shared" si="2"/>
        <v>25</v>
      </c>
      <c r="AB13" s="900">
        <f t="shared" si="2"/>
        <v>0</v>
      </c>
      <c r="AC13" s="900">
        <f t="shared" si="2"/>
        <v>0</v>
      </c>
      <c r="AD13" s="900">
        <f t="shared" si="2"/>
        <v>0</v>
      </c>
      <c r="AE13" s="900">
        <f t="shared" si="2"/>
        <v>1267</v>
      </c>
      <c r="AF13" s="908">
        <f t="shared" si="2"/>
        <v>0</v>
      </c>
      <c r="AG13" s="908">
        <f t="shared" si="2"/>
        <v>0</v>
      </c>
      <c r="AH13" s="908">
        <f t="shared" si="2"/>
        <v>0</v>
      </c>
      <c r="AI13" s="908">
        <f t="shared" si="2"/>
        <v>0</v>
      </c>
      <c r="AJ13" s="908">
        <f t="shared" si="2"/>
        <v>63</v>
      </c>
      <c r="AK13" s="908">
        <f t="shared" si="2"/>
        <v>134</v>
      </c>
      <c r="AL13" s="908">
        <f t="shared" si="2"/>
        <v>0</v>
      </c>
      <c r="AM13" s="908">
        <f t="shared" si="2"/>
        <v>0</v>
      </c>
      <c r="AN13" s="908">
        <f t="shared" si="2"/>
        <v>0</v>
      </c>
      <c r="AO13" s="904">
        <f>IF(ISNUMBER(((NºAsuntos!I13/NºAsuntos!G13)*11)/factor_trimestre),((NºAsuntos!I13/NºAsuntos!G13)*11)/factor_trimestre," - ")</f>
        <v>7.1568627450980395</v>
      </c>
      <c r="AP13" s="910" t="str">
        <f>IF(ISNUMBER(Datos!CI13/Datos!CJ13),Datos!CI13/Datos!CJ13," - ")</f>
        <v xml:space="preserve"> - </v>
      </c>
      <c r="AQ13" s="928">
        <f t="shared" ref="AQ13:AV13" si="3">SUBTOTAL(9,AQ9:AQ12)</f>
        <v>0</v>
      </c>
      <c r="AR13" s="928">
        <f t="shared" si="3"/>
        <v>0.1306502296350012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662</v>
      </c>
      <c r="G16" s="225">
        <f>IF(ISNUMBER(IF(D_I="SI",Datos!I16,Datos!I16+Datos!AC16)),IF(D_I="SI",Datos!I16,Datos!I16+Datos!AC16)," - ")</f>
        <v>660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319</v>
      </c>
      <c r="Z16" s="619">
        <f>IF(ISNUMBER(Datos!Q16),Datos!Q16," - ")</f>
        <v>2</v>
      </c>
      <c r="AA16" s="332">
        <f>IF(ISNUMBER(IF(D_I="SI",Datos!L16,Datos!L16+Datos!AF16)),IF(D_I="SI",Datos!L16,Datos!L16+Datos!AF16)," - ")</f>
        <v>613</v>
      </c>
      <c r="AB16" s="334"/>
      <c r="AC16" s="334"/>
      <c r="AD16" s="484"/>
      <c r="AE16" s="484">
        <f>IF(ISNUMBER(Datos!R16),Datos!R16," - ")</f>
        <v>20</v>
      </c>
      <c r="AF16" s="229" t="str">
        <f>IF(ISNUMBER(Datos!BV16),Datos!BV16," - ")</f>
        <v xml:space="preserve"> - </v>
      </c>
      <c r="AG16" s="225"/>
      <c r="AH16" s="298"/>
      <c r="AI16" s="227"/>
      <c r="AJ16" s="225">
        <f>IF(ISNUMBER(Datos!M16),Datos!M16," - ")</f>
        <v>30</v>
      </c>
      <c r="AK16" s="229">
        <f>IF(ISNUMBER(Datos!N16),Datos!N16," - ")</f>
        <v>225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5.7648902821316614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v>
      </c>
      <c r="Z17" s="619">
        <f>IF(ISNUMBER(Datos!Q17),Datos!Q17," - ")</f>
        <v>0</v>
      </c>
      <c r="AA17" s="332">
        <f>IF(ISNUMBER(Datos!L17),Datos!L17,"-")</f>
        <v>81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662</v>
      </c>
      <c r="G18" s="898">
        <f>SUBTOTAL(9,G15:G17)</f>
        <v>734</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339</v>
      </c>
      <c r="Z18" s="932">
        <f t="shared" si="5"/>
        <v>2</v>
      </c>
      <c r="AA18" s="932">
        <f t="shared" si="5"/>
        <v>694</v>
      </c>
      <c r="AB18" s="932">
        <f t="shared" si="5"/>
        <v>0</v>
      </c>
      <c r="AC18" s="932">
        <f t="shared" si="5"/>
        <v>0</v>
      </c>
      <c r="AD18" s="932">
        <f t="shared" si="5"/>
        <v>0</v>
      </c>
      <c r="AE18" s="932">
        <f t="shared" si="5"/>
        <v>20</v>
      </c>
      <c r="AF18" s="932">
        <f t="shared" si="5"/>
        <v>0</v>
      </c>
      <c r="AG18" s="932">
        <f t="shared" si="5"/>
        <v>0</v>
      </c>
      <c r="AH18" s="932">
        <f t="shared" si="5"/>
        <v>0</v>
      </c>
      <c r="AI18" s="932">
        <f t="shared" si="5"/>
        <v>0</v>
      </c>
      <c r="AJ18" s="932">
        <f t="shared" si="5"/>
        <v>32</v>
      </c>
      <c r="AK18" s="932">
        <f t="shared" si="5"/>
        <v>241</v>
      </c>
      <c r="AL18" s="932">
        <f t="shared" si="5"/>
        <v>0</v>
      </c>
      <c r="AM18" s="932">
        <f t="shared" si="5"/>
        <v>0</v>
      </c>
      <c r="AN18" s="932">
        <f t="shared" si="5"/>
        <v>0</v>
      </c>
      <c r="AO18" s="934">
        <f>IF(ISNUMBER(((NºAsuntos!I18/NºAsuntos!G18)*11)/factor_trimestre),((NºAsuntos!I18/NºAsuntos!G18)*11)/factor_trimestre," - ")</f>
        <v>6.1415929203539834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686</v>
      </c>
      <c r="G19" s="820">
        <f t="shared" si="7"/>
        <v>758</v>
      </c>
      <c r="H19" s="821">
        <f t="shared" si="7"/>
        <v>0</v>
      </c>
      <c r="I19" s="820">
        <f t="shared" si="7"/>
        <v>0</v>
      </c>
      <c r="J19" s="822">
        <f t="shared" si="7"/>
        <v>0</v>
      </c>
      <c r="K19" s="820">
        <f t="shared" si="7"/>
        <v>0</v>
      </c>
      <c r="L19" s="823">
        <f t="shared" si="7"/>
        <v>0</v>
      </c>
      <c r="M19" s="820">
        <f t="shared" si="7"/>
        <v>0</v>
      </c>
      <c r="N19" s="821">
        <f t="shared" si="7"/>
        <v>101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340</v>
      </c>
      <c r="Z19" s="827">
        <f t="shared" si="8"/>
        <v>29</v>
      </c>
      <c r="AA19" s="828">
        <f t="shared" si="8"/>
        <v>719</v>
      </c>
      <c r="AB19" s="828">
        <f t="shared" si="8"/>
        <v>0</v>
      </c>
      <c r="AC19" s="828">
        <f t="shared" si="8"/>
        <v>0</v>
      </c>
      <c r="AD19" s="829">
        <f t="shared" si="8"/>
        <v>0</v>
      </c>
      <c r="AE19" s="829">
        <f t="shared" si="8"/>
        <v>1287</v>
      </c>
      <c r="AF19" s="830">
        <f t="shared" si="8"/>
        <v>0</v>
      </c>
      <c r="AG19" s="831">
        <f t="shared" si="8"/>
        <v>0</v>
      </c>
      <c r="AH19" s="832">
        <f t="shared" si="8"/>
        <v>0</v>
      </c>
      <c r="AI19" s="830">
        <f t="shared" si="8"/>
        <v>0</v>
      </c>
      <c r="AJ19" s="820">
        <f t="shared" si="8"/>
        <v>95</v>
      </c>
      <c r="AK19" s="820">
        <f t="shared" si="8"/>
        <v>375</v>
      </c>
      <c r="AL19" s="820">
        <f t="shared" si="8"/>
        <v>0</v>
      </c>
      <c r="AM19" s="833">
        <f t="shared" si="8"/>
        <v>0</v>
      </c>
      <c r="AN19" s="823">
        <f>IF(ISNUMBER(Datos!K19/Datos!J19),Datos!K19/Datos!J19," - ")</f>
        <v>1.3758099352051836</v>
      </c>
      <c r="AO19" s="823">
        <f>IF(ISNUMBER(FIND("06",Criterios!A8,1)),(IF(ISNUMBER(((Datos!R19/Datos!Q19)*11)/factor_trimestre),((Datos!R19/Datos!Q19)*11)/factor_trimestre," - ")),(IF(ISNUMBER(((Datos!L19/Datos!K19)*11)/factor_trimestre),((Datos!L19/Datos!K19)*11)/factor_trimestre," - ")))</f>
        <v>6.616954474097331</v>
      </c>
      <c r="AP19" s="834" t="str">
        <f>IF(ISNUMBER(Datos!CI19/Datos!CJ19),Datos!CI19/Datos!CJ19," - ")</f>
        <v xml:space="preserve"> - </v>
      </c>
      <c r="AQ19" s="834">
        <f>IF(OR(ISNUMBER(FIND("01",Criterios!A8,1)),ISNUMBER(FIND("02",Criterios!A8,1)),ISNUMBER(FIND("03",Criterios!A8,1)),ISNUMBER(FIND("04",Criterios!A8,1))),(J19-Y19+K19)/(F19-K19),(I19-Y19+K19)/(F19-K19))</f>
        <v>-0.49562682215743442</v>
      </c>
      <c r="AR19" s="834">
        <f>IF(ISNUMBER((Datos!P19-Datos!Q19+O19)/(Datos!R19-Datos!P19+Datos!Q19-O19)),(Datos!P19-Datos!Q19+O19)/(Datos!R19-Datos!P19+Datos!Q19-O19)," - ")</f>
        <v>5.9259259259259262E-2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303.2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368.34947174298122</v>
      </c>
      <c r="G21" s="552">
        <f>IF(ISNUMBER(STDEV(G8:G18)),STDEV(G8:G18),"-")</f>
        <v>361.01689711147873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27.295909339435216</v>
      </c>
      <c r="AK21" s="252"/>
      <c r="AL21" s="252">
        <f>IF(ISNUMBER(STDEV(AL8:AL18)),STDEV(AL8:AL18),"-")</f>
        <v>0</v>
      </c>
      <c r="AM21" s="254">
        <f>IF(ISNUMBER(STDEV(AM8:AM18)),STDEV(AM8:AM18),"-")</f>
        <v>0</v>
      </c>
      <c r="AN21" s="539">
        <f>IF(ISNUMBER(STDEV(AN8:AN18)),STDEV(AN8:AN18),"-")</f>
        <v>0</v>
      </c>
      <c r="AO21" s="540">
        <f>IF(ISNUMBER(STDEV(AO8:AO18)),STDEV(AO8:AO18),"-")</f>
        <v>27.601254259939616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gWVYXtQzxDHIxsaheZYZJL0tzKL1JGkqkpRx6rYOPTRiYFV/3NiLqOCuPxa8O03AsZFy2n0U+aDuVkjbLmZAw==" saltValue="P4zVSJPZ3gmUwVTYWDid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O2Ak1AqePqYsVJiRQ1XuCgSYGao2fGGmABiQQ7sYxxcF8DBA8lMJu70oamPMHSGkb2jjN1y8YYIu1YHxAWLXhA==" saltValue="ZN/H+8M0NG703fhEdC18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cLvMbAGAY1c10r3TssOEkqJMIyoxXZh20cGo+xTkbDQsxDq3MA5kjga7RupWDSwlULk/zvfamlZrf8kVJrJsQ==" saltValue="SJpsVb5UKskjXI9SDcw2F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SEU D'URGELL,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0.20588235294117646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0.145580807891348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S/LefwcXHlxz+EbED5sX/ASKG3AXnyGn0sPKg6i2XxgAZDL1a3LT6YlUXkbiTkr3UznIRCX7acvKcEbpVCALQ==" saltValue="JqQPtOproFW3EBvFwvb86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8IDbNO1roJyaVukvT+HXPnklLefmLiRncp8kUK0CJBw/lt441KBsabFlZgFr27pHNpWhj7GGhLKpLSb3bUcMqg==" saltValue="wHNmjzO1Ykl2JhTPcHUk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LLEIDA</v>
      </c>
      <c r="D3" s="375"/>
      <c r="E3" s="375"/>
      <c r="F3" s="375"/>
      <c r="BQ3" s="471"/>
    </row>
    <row r="4" spans="1:69" ht="13.5" thickBot="1">
      <c r="A4" s="375"/>
      <c r="B4" s="391" t="str">
        <f>Criterios!A11 &amp;"  "&amp;Criterios!B11</f>
        <v>Resumenes por Partidos Judiciales  SEU D'URGELL,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v>
      </c>
      <c r="D10" s="404">
        <f>IF(ISNUMBER(C10/Datos!BH10),C10/Datos!BH10," - ")</f>
        <v>24</v>
      </c>
      <c r="E10" s="403">
        <f>IF(ISNUMBER(Datos!J10),Datos!J10," - ")</f>
        <v>2</v>
      </c>
      <c r="F10" s="404">
        <f>IF(ISNUMBER(E10/B10),E10/B10," - ")</f>
        <v>2</v>
      </c>
      <c r="G10" s="403">
        <f>IF(ISNUMBER(Datos!K10),Datos!K10," - ")</f>
        <v>1</v>
      </c>
      <c r="H10" s="404">
        <f>IF(ISNUMBER(G10/B10),G10/B10," - ")</f>
        <v>1</v>
      </c>
      <c r="I10" s="403">
        <f>IF(ISNUMBER(Datos!L10),Datos!L10," - ")</f>
        <v>25</v>
      </c>
      <c r="J10" s="404">
        <f>IF(ISNUMBER(I10/B10),I10/B10," - ")</f>
        <v>25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833</v>
      </c>
      <c r="D12" s="404">
        <f>IF(ISNUMBER(C12/Datos!BH12),C12/Datos!BH12," - ")</f>
        <v>416.5</v>
      </c>
      <c r="E12" s="403">
        <f>IF(ISNUMBER(IF(J_V="SI",Datos!J12,Datos!J12+Datos!Z12)),IF(J_V="SI",Datos!J12,Datos!J12+Datos!Z12)," - ")</f>
        <v>177</v>
      </c>
      <c r="F12" s="404">
        <f>IF(ISNUMBER(E12/B12),E12/B12," - ")</f>
        <v>88.5</v>
      </c>
      <c r="G12" s="403">
        <f>IF(ISNUMBER(IF(J_V="SI",Datos!K12,Datos!K12+Datos!AA12)),IF(J_V="SI",Datos!K12,Datos!K12+Datos!AA12)," - ")</f>
        <v>305</v>
      </c>
      <c r="H12" s="404">
        <f>IF(ISNUMBER(G12/B12),G12/B12," - ")</f>
        <v>152.5</v>
      </c>
      <c r="I12" s="403">
        <f>IF(ISNUMBER(IF(J_V="SI",Datos!L12,Datos!L12+Datos!AB12)),IF(J_V="SI",Datos!L12,Datos!L12+Datos!AB12)," - ")</f>
        <v>705</v>
      </c>
      <c r="J12" s="404">
        <f>IF(ISNUMBER(I12/B12),I12/B12," - ")</f>
        <v>352.5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857</v>
      </c>
      <c r="D13" s="850" t="str">
        <f>IF(ISNUMBER(C13/Datos!BI13),C13/Datos!BI13," - ")</f>
        <v xml:space="preserve"> - </v>
      </c>
      <c r="E13" s="849">
        <f>SUBTOTAL(9,E8:E12)</f>
        <v>179</v>
      </c>
      <c r="F13" s="850">
        <f>IF(ISNUMBER(E13/B13),E13/B13," - ")</f>
        <v>89.5</v>
      </c>
      <c r="G13" s="849">
        <f>SUBTOTAL(9,G8:G12)</f>
        <v>306</v>
      </c>
      <c r="H13" s="850">
        <f>IF(ISNUMBER(G13/B13),G13/B13," - ")</f>
        <v>153</v>
      </c>
      <c r="I13" s="849">
        <f>SUBTOTAL(9,I8:I12)</f>
        <v>730</v>
      </c>
      <c r="J13" s="850">
        <f>IF(ISNUMBER(I13/B13),I13/B13," - ")</f>
        <v>365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660</v>
      </c>
      <c r="D16" s="404">
        <f>IF(ISNUMBER(C16/Datos!BH16),C16/Datos!BH16," - ")</f>
        <v>330</v>
      </c>
      <c r="E16" s="403">
        <f>IF(ISNUMBER(IF(D_I="SI",Datos!J16,Datos!J16+Datos!AD16)),IF(D_I="SI",Datos!J16,Datos!J16+Datos!AD16)," - ")</f>
        <v>270</v>
      </c>
      <c r="F16" s="404">
        <f>IF(ISNUMBER(E16/B16),E16/B16," - ")</f>
        <v>135</v>
      </c>
      <c r="G16" s="403">
        <f>IF(ISNUMBER(IF(D_I="SI",Datos!K16,Datos!K16+Datos!AE16)),IF(D_I="SI",Datos!K16,Datos!K16+Datos!AE16)," - ")</f>
        <v>319</v>
      </c>
      <c r="H16" s="404">
        <f>IF(ISNUMBER(G16/B16),G16/B16," - ")</f>
        <v>159.5</v>
      </c>
      <c r="I16" s="403">
        <f>IF(ISNUMBER(IF(D_I="SI",Datos!L16,Datos!L16+Datos!AF16)),IF(D_I="SI",Datos!L16,Datos!L16+Datos!AF16)," - ")</f>
        <v>613</v>
      </c>
      <c r="J16" s="404">
        <f>IF(ISNUMBER(I16/B16),I16/B16," - ")</f>
        <v>306.5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74</v>
      </c>
      <c r="D17" s="404">
        <f>IF(ISNUMBER(C17/Datos!BH17),C17/Datos!BH17," - ")</f>
        <v>74</v>
      </c>
      <c r="E17" s="403">
        <f>IF(ISNUMBER(IF(D_I="SI",Datos!J17,Datos!J17+Datos!AD17)),IF(D_I="SI",Datos!J17,Datos!J17+Datos!AD17)," - ")</f>
        <v>26</v>
      </c>
      <c r="F17" s="404">
        <f>IF(ISNUMBER(E17/B17),E17/B17," - ")</f>
        <v>26</v>
      </c>
      <c r="G17" s="403">
        <f>IF(ISNUMBER(IF(D_I="SI",Datos!K17,Datos!K17+Datos!AE17)),IF(D_I="SI",Datos!K17,Datos!K17+Datos!AE17)," - ")</f>
        <v>20</v>
      </c>
      <c r="H17" s="404">
        <f>IF(ISNUMBER(G17/B17),G17/B17," - ")</f>
        <v>20</v>
      </c>
      <c r="I17" s="403">
        <f>IF(ISNUMBER(IF(D_I="SI",Datos!L17,Datos!L17+Datos!AF17)),IF(D_I="SI",Datos!L17,Datos!L17+Datos!AF17)," - ")</f>
        <v>81</v>
      </c>
      <c r="J17" s="404">
        <f>IF(ISNUMBER(I17/B17),I17/B17," - ")</f>
        <v>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734</v>
      </c>
      <c r="D18" s="850" t="str">
        <f>IF(ISNUMBER(C18/Datos!BI18),C18/Datos!BI18," - ")</f>
        <v xml:space="preserve"> - </v>
      </c>
      <c r="E18" s="849">
        <f>SUBTOTAL(9,E14:E17)</f>
        <v>296</v>
      </c>
      <c r="F18" s="850">
        <f>IF(ISNUMBER(E18/B18),E18/B18," - ")</f>
        <v>148</v>
      </c>
      <c r="G18" s="849">
        <f>SUBTOTAL(9,G14:G17)</f>
        <v>339</v>
      </c>
      <c r="H18" s="850">
        <f>IF(ISNUMBER(G18/B18),G18/B18," - ")</f>
        <v>169.5</v>
      </c>
      <c r="I18" s="849">
        <f>SUBTOTAL(9,I14:I17)</f>
        <v>694</v>
      </c>
      <c r="J18" s="850">
        <f>IF(ISNUMBER(I18/B18),I18/B18," - ")</f>
        <v>347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1591</v>
      </c>
      <c r="D19" s="795" t="str">
        <f>IF(ISNUMBER(C19/Datos!BI19),C19/Datos!BI19," - ")</f>
        <v xml:space="preserve"> - </v>
      </c>
      <c r="E19" s="794">
        <f>SUBTOTAL(9,E9:E18)</f>
        <v>475</v>
      </c>
      <c r="F19" s="795">
        <f>IF(ISNUMBER(E19/B19),E19/B19," - ")</f>
        <v>237.5</v>
      </c>
      <c r="G19" s="794">
        <f>SUBTOTAL(9,G9:G18)</f>
        <v>645</v>
      </c>
      <c r="H19" s="795">
        <f>IF(ISNUMBER(G19/B19),G19/B19," - ")</f>
        <v>322.5</v>
      </c>
      <c r="I19" s="794">
        <f>SUBTOTAL(9,I9:I18)</f>
        <v>1424</v>
      </c>
      <c r="J19" s="795">
        <f>IF(ISNUMBER(I19/B19),I19/B19," - ")</f>
        <v>712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8LHkwmWWPGv7PmXNTm1nGujZoSs2tWRCOCYXvkaW09cL+WPQxkGgAoj5oLzhPc0B9aMWGpnowffPyN4fW76vEA==" saltValue="DVx4JI5JV9zJxMlDbnmN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LLEIDA  Resumenes por Partidos Judiciales  SEU D'URGELL,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v>
      </c>
      <c r="G10" s="684">
        <f>IF(ISNUMBER(Datos!I10),Datos!I10," - ")</f>
        <v>24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1252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v>
      </c>
      <c r="AM12" s="690">
        <f>IF(ISNUMBER(Datos!N12+DatosP!N16),Datos!N12+DatosP!N16," - ")</f>
        <v>134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6.9344262295081975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5.9221658206429779E-2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24</v>
      </c>
      <c r="G13" s="938">
        <f t="shared" si="0"/>
        <v>24</v>
      </c>
      <c r="H13" s="938">
        <f t="shared" si="0"/>
        <v>0</v>
      </c>
      <c r="I13" s="940">
        <f t="shared" si="0"/>
        <v>0</v>
      </c>
      <c r="J13" s="939">
        <f t="shared" si="0"/>
        <v>0</v>
      </c>
      <c r="K13" s="939">
        <f t="shared" si="0"/>
        <v>0</v>
      </c>
      <c r="L13" s="941">
        <f t="shared" si="0"/>
        <v>0</v>
      </c>
      <c r="M13" s="941">
        <f t="shared" si="0"/>
        <v>0</v>
      </c>
      <c r="N13" s="939">
        <f t="shared" si="0"/>
        <v>98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27</v>
      </c>
      <c r="AE13" s="939">
        <f t="shared" si="1"/>
        <v>0</v>
      </c>
      <c r="AF13" s="939">
        <f t="shared" si="1"/>
        <v>25</v>
      </c>
      <c r="AG13" s="939">
        <f t="shared" si="1"/>
        <v>0</v>
      </c>
      <c r="AH13" s="939">
        <f t="shared" si="1"/>
        <v>1252</v>
      </c>
      <c r="AI13" s="939">
        <f t="shared" si="1"/>
        <v>0</v>
      </c>
      <c r="AJ13" s="939">
        <f t="shared" si="1"/>
        <v>0</v>
      </c>
      <c r="AK13" s="939">
        <f t="shared" si="1"/>
        <v>0</v>
      </c>
      <c r="AL13" s="939">
        <f t="shared" si="1"/>
        <v>63</v>
      </c>
      <c r="AM13" s="939">
        <f t="shared" si="1"/>
        <v>134</v>
      </c>
      <c r="AN13" s="939">
        <f t="shared" si="1"/>
        <v>0</v>
      </c>
      <c r="AO13" s="939">
        <f t="shared" si="1"/>
        <v>0</v>
      </c>
      <c r="AP13" s="944">
        <f>IF(ISNUMBER(((Datos!L13/Datos!K13)*11)/factor_trimestre),((Datos!L13/Datos!K13)*11)/factor_trimestre," - ")</f>
        <v>7.1577181208053702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-4.1666666666666664E-2</v>
      </c>
      <c r="AU13" s="939" t="str">
        <f>IF(ISNUMBER((DatosP!#REF!-DatosP!#REF!+DatosP!#REF!)/(DatosP!#REF!+DatosP!#REF!-DatosP!#REF!-DatosP!#REF!)),(DatosP!#REF!-DatosP!#REF!+DatosP!#REF!)/(DatosP!#REF!+DatosP!#REF!-DatosP!#REF!-DatosP!#REF!)," - ")</f>
        <v xml:space="preserve"> - </v>
      </c>
      <c r="AV13" s="945">
        <f>SUBTOTAL(9,AV9:AV12)</f>
        <v>5.9221658206429779E-2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6.1415929203539834</v>
      </c>
      <c r="AQ18" s="944">
        <f>IF(ISNUMBER(((Datos!M18/Datos!L18)*11)/factor_trimestre),((Datos!M18/Datos!L18)*11)/factor_trimestre," - ")</f>
        <v>0.13832853025936601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5.2631578947368418E-2</v>
      </c>
      <c r="AW18" s="946">
        <f>IF(ISNUMBER((Datos!Q18-Datos!R18)/(Datos!S18-Datos!Q18+Datos!R18)),(Datos!Q18-Datos!R18)/(Datos!S18-Datos!Q18+Datos!R18)," - ")</f>
        <v>-2.7649769585253458E-2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24</v>
      </c>
      <c r="G19" s="951">
        <f t="shared" si="4"/>
        <v>24</v>
      </c>
      <c r="H19" s="951">
        <f t="shared" si="4"/>
        <v>0</v>
      </c>
      <c r="I19" s="952">
        <f t="shared" si="4"/>
        <v>0</v>
      </c>
      <c r="J19" s="953">
        <f t="shared" si="4"/>
        <v>0</v>
      </c>
      <c r="K19" s="953">
        <f t="shared" si="4"/>
        <v>0</v>
      </c>
      <c r="L19" s="953">
        <f t="shared" si="4"/>
        <v>0</v>
      </c>
      <c r="M19" s="953">
        <f t="shared" si="4"/>
        <v>0</v>
      </c>
      <c r="N19" s="952">
        <f t="shared" si="4"/>
        <v>98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27</v>
      </c>
      <c r="AE19" s="957">
        <f t="shared" si="5"/>
        <v>0</v>
      </c>
      <c r="AF19" s="958">
        <f t="shared" si="5"/>
        <v>25</v>
      </c>
      <c r="AG19" s="958">
        <f t="shared" si="5"/>
        <v>0</v>
      </c>
      <c r="AH19" s="958">
        <f t="shared" si="5"/>
        <v>1252</v>
      </c>
      <c r="AI19" s="958">
        <f t="shared" si="5"/>
        <v>0</v>
      </c>
      <c r="AJ19" s="959">
        <f t="shared" si="5"/>
        <v>0</v>
      </c>
      <c r="AK19" s="959">
        <f t="shared" si="5"/>
        <v>0</v>
      </c>
      <c r="AL19" s="951">
        <f t="shared" si="5"/>
        <v>63</v>
      </c>
      <c r="AM19" s="951">
        <f t="shared" si="5"/>
        <v>134</v>
      </c>
      <c r="AN19" s="951">
        <f t="shared" si="5"/>
        <v>0</v>
      </c>
      <c r="AO19" s="951">
        <f t="shared" si="5"/>
        <v>0</v>
      </c>
      <c r="AP19" s="951">
        <f>IF(ISNUMBER(((Datos!L19/Datos!K19)*11)/factor_trimestre),((Datos!L19/Datos!K19)*11)/factor_trimestre," - ")</f>
        <v>6.616954474097331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-4.1666666666666664E-2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5.9259259259259262E-2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13.856406460551018</v>
      </c>
      <c r="G21" s="737">
        <f>IF(ISNUMBER(STDEV(G8:G18)),STDEV(G8:G18),"-")</f>
        <v>13.856406460551018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35.800372437541299</v>
      </c>
      <c r="AM21" s="736"/>
      <c r="AN21" s="736">
        <f>IF(ISNUMBER(STDEV(AN8:AN18)),STDEV(AN8:AN18),"-")</f>
        <v>0</v>
      </c>
      <c r="AO21" s="742">
        <f>IF(ISNUMBER(STDEV(AO8:AO18)),STDEV(AO8:AO18),"-")</f>
        <v>0</v>
      </c>
      <c r="AP21" s="779">
        <f>IF(ISNUMBER(STDEV(AP8:AP18)),STDEV(AP8:AP18),"-")</f>
        <v>34.130495556486849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L8VgtohEnqPV1vrExEyvuBhot6lYzHXXfJw5MDt9qUzAtDOCYVhmn1m+T5vJKtPFbwc/LjNlLapqZh0K95LOQ==" saltValue="4c8idZyGkSjzQEvLTNSc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SEU D'URGELL,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6sM/5WgFHn1IlOUp0YFx4iSrAUc80dAFbxW2Bxi72GWNq8Agx6p/RaUnXI4dn3rEZ8tBnH+5WOkaHvUsyFIfLA==" saltValue="ekO3p1mL5nW1Uhm41Cnm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LLEIDA</v>
      </c>
      <c r="C3" s="391"/>
      <c r="D3" s="425"/>
      <c r="BZ3" s="471"/>
    </row>
    <row r="4" spans="1:78" ht="13.5" thickBot="1">
      <c r="B4" s="391" t="str">
        <f>Criterios!A11 &amp;"  "&amp;Criterios!B11</f>
        <v>Resumenes por Partidos Judiciales  SEU D'URGELL,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62</v>
      </c>
      <c r="E12" s="404">
        <f t="shared" si="0"/>
        <v>31</v>
      </c>
      <c r="F12" s="403">
        <f>IF(ISNUMBER(Datos!N12),Datos!N12," - ")</f>
        <v>134</v>
      </c>
      <c r="G12" s="404">
        <f t="shared" si="1"/>
        <v>67</v>
      </c>
      <c r="H12" s="403">
        <f>IF(ISNUMBER(Datos!O12),Datos!O12," - ")</f>
        <v>123</v>
      </c>
      <c r="I12" s="404">
        <f t="shared" si="2"/>
        <v>61.5</v>
      </c>
      <c r="BZ12" s="1186">
        <f>Datos!EZ12</f>
        <v>0</v>
      </c>
    </row>
    <row r="13" spans="1:78" ht="14.25" thickTop="1" thickBot="1">
      <c r="A13" s="848" t="str">
        <f>Datos!A13</f>
        <v>TOTAL</v>
      </c>
      <c r="B13" s="849">
        <f>Datos!AP13</f>
        <v>2</v>
      </c>
      <c r="C13" s="851">
        <f>Datos!AR13</f>
        <v>2</v>
      </c>
      <c r="D13" s="849">
        <f>SUBTOTAL(9,D9:D12)</f>
        <v>63</v>
      </c>
      <c r="E13" s="850">
        <f t="shared" si="0"/>
        <v>31.5</v>
      </c>
      <c r="F13" s="849">
        <f>SUBTOTAL(9,F9:F12)</f>
        <v>134</v>
      </c>
      <c r="G13" s="850">
        <f t="shared" si="1"/>
        <v>67</v>
      </c>
      <c r="H13" s="849">
        <f>SUBTOTAL(9,H9:H12)</f>
        <v>123</v>
      </c>
      <c r="I13" s="850">
        <f>IF(ISNUMBER(H13/B13),H13/B13," - ")</f>
        <v>61.5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30</v>
      </c>
      <c r="E16" s="404">
        <f t="shared" si="3"/>
        <v>15</v>
      </c>
      <c r="F16" s="403">
        <f>IF(ISNUMBER(Datos!N16),Datos!N16," - ")</f>
        <v>225</v>
      </c>
      <c r="G16" s="404">
        <f t="shared" si="4"/>
        <v>112.5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16</v>
      </c>
      <c r="G17" s="404">
        <f>IF(ISNUMBER(F17/B17),F17/B17," - ")</f>
        <v>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32</v>
      </c>
      <c r="E18" s="850">
        <f t="shared" si="3"/>
        <v>16</v>
      </c>
      <c r="F18" s="849">
        <f>SUBTOTAL(9,F15:F17)</f>
        <v>241</v>
      </c>
      <c r="G18" s="850">
        <f t="shared" si="4"/>
        <v>120.5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95</v>
      </c>
      <c r="E19" s="795">
        <f>IF(ISNUMBER(D19/B19),D19/B19," - ")</f>
        <v>47.5</v>
      </c>
      <c r="F19" s="794">
        <f>SUBTOTAL(9,F8:F18)</f>
        <v>375</v>
      </c>
      <c r="G19" s="795">
        <f>IF(ISNUMBER(F19/B19),F19/B19," - ")</f>
        <v>187.5</v>
      </c>
      <c r="H19" s="794">
        <f>SUBTOTAL(9,H8:H18)</f>
        <v>123</v>
      </c>
      <c r="I19" s="795">
        <f>IF(ISNUMBER(H19/B19),H19/B19," - ")</f>
        <v>61.5</v>
      </c>
    </row>
    <row r="22" spans="1:78">
      <c r="A22" s="391" t="str">
        <f>Criterios!A4</f>
        <v>Fecha Informe: 24 sep. 2025</v>
      </c>
    </row>
    <row r="27" spans="1:78">
      <c r="A27" s="414"/>
    </row>
  </sheetData>
  <sheetProtection algorithmName="SHA-512" hashValue="OGXFDAzuF0McA+tXiV1DmojIJ8+TJ810ZWVSYexczyKPFSA9x5ft/Dw4DkWG/URJsKgq/Pe+xyFWSkx8PgjTsA==" saltValue="mgv01lgtT+qJztHF6W2j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SEU D'URGELL,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97</v>
      </c>
      <c r="C12" s="434">
        <f>IF(ISNUMBER(Datos!Q12),Datos!Q12," - ")</f>
        <v>27</v>
      </c>
      <c r="D12" s="408">
        <f>IF(ISNUMBER(Datos!R12),Datos!R12," - ")</f>
        <v>1252</v>
      </c>
    </row>
    <row r="13" spans="1:4" ht="14.25" thickTop="1" thickBot="1">
      <c r="A13" s="848" t="str">
        <f>Datos!A13</f>
        <v>TOTAL</v>
      </c>
      <c r="B13" s="849">
        <f>SUBTOTAL(9,B9:B12)</f>
        <v>98</v>
      </c>
      <c r="C13" s="853">
        <f>SUBTOTAL(9,C9:C12)</f>
        <v>27</v>
      </c>
      <c r="D13" s="851">
        <f>SUBTOTAL(9,D9:D12)</f>
        <v>1267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2</v>
      </c>
      <c r="D16" s="408">
        <f>IF(ISNUMBER(Datos!R16),Datos!R16," - ")</f>
        <v>20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2</v>
      </c>
      <c r="D18" s="851">
        <f>SUBTOTAL(9,D15:D17)</f>
        <v>20</v>
      </c>
    </row>
    <row r="19" spans="1:4" ht="16.5" customHeight="1" thickTop="1" thickBot="1">
      <c r="A19" s="793" t="str">
        <f>Datos!A19</f>
        <v>TOTAL JURISDICCIONES</v>
      </c>
      <c r="B19" s="798">
        <f>SUBTOTAL(9,B8:B18)</f>
        <v>101</v>
      </c>
      <c r="C19" s="799">
        <f>SUBTOTAL(9,C8:C18)</f>
        <v>29</v>
      </c>
      <c r="D19" s="800">
        <f>SUBTOTAL(9,D8:D18)</f>
        <v>1287</v>
      </c>
    </row>
    <row r="20" spans="1:4" ht="7.5" customHeight="1"/>
    <row r="21" spans="1:4" ht="6" customHeight="1"/>
    <row r="22" spans="1:4">
      <c r="A22" s="391" t="str">
        <f>Criterios!A4</f>
        <v>Fecha Informe: 24 sep. 2025</v>
      </c>
    </row>
    <row r="27" spans="1:4">
      <c r="A27" s="414"/>
    </row>
  </sheetData>
  <sheetProtection algorithmName="SHA-512" hashValue="0uZs65Tohv6MME97k5JBFG81s1/ZMqDqiTjSXK1WmOJ2cgZmCfZBxDMDUsYe7iDbJ+QfJPRbZef8UGKUIck63A==" saltValue="S6DKemTUmAC+rCY6Bhiy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SEU D'URGELL,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9.0909090909090912E-2</v>
      </c>
      <c r="C10" s="456">
        <f>IF(ISNUMBER((Datos!J10-Datos!T10)/Datos!T10),(Datos!J10-Datos!T10)/Datos!T10," - ")</f>
        <v>-0.66666666666666663</v>
      </c>
      <c r="D10" s="456">
        <f>IF(ISNUMBER((Datos!K10-Datos!U10)/Datos!U10),(Datos!K10-Datos!U10)/Datos!U10," - ")</f>
        <v>-0.5</v>
      </c>
      <c r="E10" s="456">
        <f>IF(ISNUMBER((Datos!L10-Datos!V10)/Datos!V10),(Datos!L10-Datos!V10)/Datos!V10," - ")</f>
        <v>-3.8461538461538464E-2</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0.50000000000000011</v>
      </c>
      <c r="I10" s="456">
        <f>IF(ISNUMBER(((NºAsuntos!I10/NºAsuntos!G10)-Datos!BE10)/Datos!BE10),((NºAsuntos!I10/NºAsuntos!G10)-Datos!BE10)/Datos!BE10," - ")</f>
        <v>0.92307692307692313</v>
      </c>
      <c r="J10" s="461">
        <f>IF(ISNUMBER((('Resol  Asuntos'!D10/NºAsuntos!G10)-Datos!BF10)/Datos!BF10),(('Resol  Asuntos'!D10/NºAsuntos!G10)-Datos!BF10)/Datos!BF10," - ")</f>
        <v>1</v>
      </c>
      <c r="K10" s="462">
        <f>IF(ISNUMBER((((NºAsuntos!C10+NºAsuntos!E10)/NºAsuntos!G10)-Datos!BG10)/Datos!BG10),(((NºAsuntos!C10+NºAsuntos!E10)/NºAsuntos!G10)-Datos!BG10)/Datos!BG10," - ")</f>
        <v>0.8571428571428571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4.8250904704463205E-3</v>
      </c>
      <c r="C12" s="456">
        <f>IF(ISNUMBER(
   IF(J_V="SI",(Datos!J12-Datos!T12)/Datos!T12,(Datos!J12+Datos!Z12-(Datos!T12+Datos!AH12))/(Datos!T12+Datos!AH12))
     ),IF(J_V="SI",(Datos!J12-Datos!T12)/Datos!T12,(Datos!J12+Datos!Z12-(Datos!T12+Datos!AH12))/(Datos!T12+Datos!AH12))," - ")</f>
        <v>-0.25316455696202533</v>
      </c>
      <c r="D12" s="456">
        <f>IF(ISNUMBER(
   IF(J_V="SI",(Datos!K12-Datos!U12)/Datos!U12,(Datos!K12+Datos!AA12-(Datos!U12+Datos!AI12))/(Datos!U12+Datos!AI12))
     ),IF(J_V="SI",(Datos!K12-Datos!U12)/Datos!U12,(Datos!K12+Datos!AA12-(Datos!U12+Datos!AI12))/(Datos!U12+Datos!AI12))," - ")</f>
        <v>-8.408408408408409E-2</v>
      </c>
      <c r="E12" s="456">
        <f>IF(ISNUMBER(
   IF(J_V="SI",(Datos!L12-Datos!V12)/Datos!V12,(Datos!L12+Datos!AB12-(Datos!V12+Datos!AJ12))/(Datos!V12+Datos!AJ12))
     ),IF(J_V="SI",(Datos!L12-Datos!V12)/Datos!V12,(Datos!L12+Datos!AB12-(Datos!V12+Datos!AJ12))/(Datos!V12+Datos!AJ12))," - ")</f>
        <v>-3.8199181446111868E-2</v>
      </c>
      <c r="F12" s="456">
        <f>IF(ISNUMBER((Datos!M12-Datos!W12)/Datos!W12),(Datos!M12-Datos!W12)/Datos!W12," - ")</f>
        <v>-0.17333333333333334</v>
      </c>
      <c r="G12" s="457">
        <f>IF(ISNUMBER((Datos!N12-Datos!X12)/Datos!X12),(Datos!N12-Datos!X12)/Datos!X12," - ")</f>
        <v>7.1999999999999995E-2</v>
      </c>
      <c r="H12" s="455">
        <f>IF(ISNUMBER(((NºAsuntos!G12/NºAsuntos!E12)-Datos!BD12)/Datos!BD12),((NºAsuntos!G12/NºAsuntos!E12)-Datos!BD12)/Datos!BD12," - ")</f>
        <v>0.22639588741283662</v>
      </c>
      <c r="I12" s="456">
        <f>IF(ISNUMBER(((NºAsuntos!I12/NºAsuntos!G12)-Datos!BE12)/Datos!BE12),((NºAsuntos!I12/NºAsuntos!G12)-Datos!BE12)/Datos!BE12," - ")</f>
        <v>5.009728714244184E-2</v>
      </c>
      <c r="J12" s="461">
        <f>IF(ISNUMBER((('Resol  Asuntos'!D12/NºAsuntos!G12)-Datos!BF12)/Datos!BF12),(('Resol  Asuntos'!D12/NºAsuntos!G12)-Datos!BF12)/Datos!BF12," - ")</f>
        <v>-0.4584655737704918</v>
      </c>
      <c r="K12" s="462">
        <f>IF(ISNUMBER((((NºAsuntos!C12+NºAsuntos!E12)/NºAsuntos!G12)-Datos!BG12)/Datos!BG12),(((NºAsuntos!C12+NºAsuntos!E12)/NºAsuntos!G12)-Datos!BG12)/Datos!BG12," - ")</f>
        <v>3.4447759357795378E-2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7.0505287896592246E-3</v>
      </c>
      <c r="C13" s="855">
        <f>IF(ISNUMBER(
   IF(J_V="SI",(Datos!J13-Datos!T13)/Datos!T13,(Datos!J13+Datos!Z13-(Datos!T13+Datos!AH13))/(Datos!T13+Datos!AH13))
     ),IF(J_V="SI",(Datos!J13-Datos!T13)/Datos!T13,(Datos!J13+Datos!Z13-(Datos!T13+Datos!AH13))/(Datos!T13+Datos!AH13))," - ")</f>
        <v>-0.26337448559670784</v>
      </c>
      <c r="D13" s="855">
        <f>IF(ISNUMBER(
   IF(J_V="SI",(Datos!K13-Datos!U13)/Datos!U13,(Datos!K13+Datos!AA13-(Datos!U13+Datos!AI13))/(Datos!U13+Datos!AI13))
     ),IF(J_V="SI",(Datos!K13-Datos!U13)/Datos!U13,(Datos!K13+Datos!AA13-(Datos!U13+Datos!AI13))/(Datos!U13+Datos!AI13))," - ")</f>
        <v>-8.6567164179104483E-2</v>
      </c>
      <c r="E13" s="855">
        <f>IF(ISNUMBER(
   IF(J_V="SI",(Datos!L13-Datos!V13)/Datos!V13,(Datos!L13+Datos!AB13-(Datos!V13+Datos!AJ13))/(Datos!V13+Datos!AJ13))
     ),IF(J_V="SI",(Datos!L13-Datos!V13)/Datos!V13,(Datos!L13+Datos!AB13-(Datos!V13+Datos!AJ13))/(Datos!V13+Datos!AJ13))," - ")</f>
        <v>-3.8208168642951248E-2</v>
      </c>
      <c r="F13" s="856">
        <f>IF(ISNUMBER((Datos!M13-Datos!W13)/Datos!W13),(Datos!M13-Datos!W13)/Datos!W13," - ")</f>
        <v>-0.17105263157894737</v>
      </c>
      <c r="G13" s="857">
        <f>IF(ISNUMBER((Datos!N13-Datos!X13)/Datos!X13),(Datos!N13-Datos!X13)/Datos!X13," - ")</f>
        <v>7.1999999999999995E-2</v>
      </c>
      <c r="H13" s="857">
        <f>IF(ISNUMBER(((NºAsuntos!G13/NºAsuntos!E13)-Datos!BD13)/Datos!BD13),((NºAsuntos!G13/NºAsuntos!E13)-Datos!BD13)/Datos!BD13," - ")</f>
        <v>0.24002334695238892</v>
      </c>
      <c r="I13" s="857">
        <f>IF(ISNUMBER(((NºAsuntos!I13/NºAsuntos!G13)-Datos!BE13)/Datos!BE13),((NºAsuntos!I13/NºAsuntos!G13)-Datos!BE13)/Datos!BE13," - ")</f>
        <v>5.2942037596768951E-2</v>
      </c>
      <c r="J13" s="857">
        <f>IF(ISNUMBER((('Resol  Asuntos'!D13/NºAsuntos!G13)-Datos!BF13)/Datos!BF13),(('Resol  Asuntos'!D13/NºAsuntos!G13)-Datos!BF13)/Datos!BF13," - ")</f>
        <v>-0.45261437908496732</v>
      </c>
      <c r="K13" s="857">
        <f>IF(ISNUMBER((((NºAsuntos!C13+NºAsuntos!E13)/NºAsuntos!G13)-Datos!BG13)/Datos!BG13),(((NºAsuntos!C13+NºAsuntos!E13)/NºAsuntos!G13)-Datos!BG13)/Datos!BG13," - ")</f>
        <v>3.6730353323535317E-2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0.13402061855670103</v>
      </c>
      <c r="C16" s="456">
        <f>IF(ISNUMBER(
   IF(D_I="SI",(Datos!J16-Datos!T16)/Datos!T16,(Datos!J16+Datos!AD16-(Datos!T16+Datos!AL16))/(Datos!T16+Datos!AL16))
     ),IF(D_I="SI",(Datos!J16-Datos!T16)/Datos!T16,(Datos!J16+Datos!AD16-(Datos!T16+Datos!AL16))/(Datos!T16+Datos!AL16))," - ")</f>
        <v>-0.14826498422712933</v>
      </c>
      <c r="D16" s="456">
        <f>IF(ISNUMBER(
   IF(D_I="SI",(Datos!K16-Datos!U16)/Datos!U16,(Datos!K16+Datos!AE16-(Datos!U16+Datos!AM16))/(Datos!U16+Datos!AM16))
     ),IF(D_I="SI",(Datos!K16-Datos!U16)/Datos!U16,(Datos!K16+Datos!AE16-(Datos!U16+Datos!AM16))/(Datos!U16+Datos!AM16))," - ")</f>
        <v>-4.2042042042042045E-2</v>
      </c>
      <c r="E16" s="456">
        <f>IF(ISNUMBER(
   IF(D_I="SI",(Datos!L16-Datos!V16)/Datos!V16,(Datos!L16+Datos!AF16-(Datos!V16+Datos!AN16))/(Datos!V16+Datos!AN16))
     ),IF(D_I="SI",(Datos!L16-Datos!V16)/Datos!V16,(Datos!L16+Datos!AF16-(Datos!V16+Datos!AN16))/(Datos!V16+Datos!AN16))," - ")</f>
        <v>8.6879432624113476E-2</v>
      </c>
      <c r="F16" s="456">
        <f>IF(ISNUMBER((Datos!M16-Datos!W16)/Datos!W16),(Datos!M16-Datos!W16)/Datos!W16," - ")</f>
        <v>-0.11764705882352941</v>
      </c>
      <c r="G16" s="457">
        <f>IF(ISNUMBER((Datos!N16-Datos!X16)/Datos!X16),(Datos!N16-Datos!X16)/Datos!X16," - ")</f>
        <v>-0.1</v>
      </c>
      <c r="H16" s="455">
        <f>IF(ISNUMBER(((NºAsuntos!G16/NºAsuntos!E16)-Datos!BD16)/Datos!BD16),((NºAsuntos!G16/NºAsuntos!E16)-Datos!BD16)/Datos!BD16," - ")</f>
        <v>0.12471360249138046</v>
      </c>
      <c r="I16" s="456">
        <f>IF(ISNUMBER(((NºAsuntos!I16/NºAsuntos!G16)-Datos!BE16)/Datos!BE16),((NºAsuntos!I16/NºAsuntos!G16)-Datos!BE16)/Datos!BE16," - ")</f>
        <v>0.13457947041952906</v>
      </c>
      <c r="J16" s="461">
        <f>IF(ISNUMBER((('Resol  Asuntos'!D16/NºAsuntos!G16)-Datos!BF16)/Datos!BF16),(('Resol  Asuntos'!D16/NºAsuntos!G16)-Datos!BF16)/Datos!BF16," - ")</f>
        <v>-7.8923105292273629E-2</v>
      </c>
      <c r="K16" s="462">
        <f>IF(ISNUMBER((((NºAsuntos!C16+NºAsuntos!E16)/NºAsuntos!G16)-Datos!BG16)/Datos!BG16),(((NºAsuntos!C16+NºAsuntos!E16)/NºAsuntos!G16)-Datos!BG16)/Datos!BG16," - ")</f>
        <v>7.9883255864230812E-2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0.45098039215686275</v>
      </c>
      <c r="C17" s="456">
        <f>IF(ISNUMBER(
   IF(D_I="SI",(Datos!J17-Datos!T17)/Datos!T17,(Datos!J17+Datos!AD17-(Datos!T17+Datos!AL17))/(Datos!T17+Datos!AL17))
     ),IF(D_I="SI",(Datos!J17-Datos!T17)/Datos!T17,(Datos!J17+Datos!AD17-(Datos!T17+Datos!AL17))/(Datos!T17+Datos!AL17))," - ")</f>
        <v>-0.51851851851851849</v>
      </c>
      <c r="D17" s="456">
        <f>IF(ISNUMBER(
   IF(D_I="SI",(Datos!K17-Datos!U17)/Datos!U17,(Datos!K17+Datos!AE17-(Datos!U17+Datos!AM17))/(Datos!U17+Datos!AM17))
     ),IF(D_I="SI",(Datos!K17-Datos!U17)/Datos!U17,(Datos!K17+Datos!AE17-(Datos!U17+Datos!AM17))/(Datos!U17+Datos!AM17))," - ")</f>
        <v>-0.2857142857142857</v>
      </c>
      <c r="E17" s="456">
        <f>IF(ISNUMBER(
   IF(D_I="SI",(Datos!L17-Datos!V17)/Datos!V17,(Datos!L17+Datos!AF17-(Datos!V17+Datos!AN17))/(Datos!V17+Datos!AN17))
     ),IF(D_I="SI",(Datos!L17-Datos!V17)/Datos!V17,(Datos!L17+Datos!AF17-(Datos!V17+Datos!AN17))/(Datos!V17+Datos!AN17))," - ")</f>
        <v>3.8461538461538464E-2</v>
      </c>
      <c r="F17" s="456">
        <f>IF(ISNUMBER((Datos!M17-Datos!W17)/Datos!W17),(Datos!M17-Datos!W17)/Datos!W17," - ")</f>
        <v>-0.77777777777777779</v>
      </c>
      <c r="G17" s="457">
        <f>IF(ISNUMBER((Datos!N17-Datos!X17)/Datos!X17),(Datos!N17-Datos!X17)/Datos!X17," - ")</f>
        <v>6.6666666666666666E-2</v>
      </c>
      <c r="H17" s="455">
        <f>IF(ISNUMBER(((NºAsuntos!G17/NºAsuntos!E17)-Datos!BD17)/Datos!BD17),((NºAsuntos!G17/NºAsuntos!E17)-Datos!BD17)/Datos!BD17," - ")</f>
        <v>0.48351648351648369</v>
      </c>
      <c r="I17" s="456">
        <f>IF(ISNUMBER(((NºAsuntos!I17/NºAsuntos!G17)-Datos!BE17)/Datos!BE17),((NºAsuntos!I17/NºAsuntos!G17)-Datos!BE17)/Datos!BE17," - ")</f>
        <v>0.45384615384615384</v>
      </c>
      <c r="J17" s="461">
        <f>IF(ISNUMBER((('Resol  Asuntos'!D17/NºAsuntos!G17)-Datos!BF17)/Datos!BF17),(('Resol  Asuntos'!D17/NºAsuntos!G17)-Datos!BF17)/Datos!BF17," - ")</f>
        <v>-0.68888888888888888</v>
      </c>
      <c r="K17" s="462">
        <f>IF(ISNUMBER((((NºAsuntos!C17+NºAsuntos!E17)/NºAsuntos!G17)-Datos!BG17)/Datos!BG17),(((NºAsuntos!C17+NºAsuntos!E17)/NºAsuntos!G17)-Datos!BG17)/Datos!BG17," - ")</f>
        <v>0.33333333333333331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0.15955766192733017</v>
      </c>
      <c r="C18" s="855">
        <f>IF(ISNUMBER(
   IF(Criterios!B14="SI",(Datos!J18-Datos!T18)/Datos!T18,(Datos!J18+Datos!AD18-(Datos!T18+Datos!AL18))/(Datos!T18+Datos!AL18))
     ),IF(Criterios!B14="SI",(Datos!J18-Datos!T18)/Datos!T18,(Datos!J18+Datos!AD18-(Datos!T18+Datos!AL18))/(Datos!T18+Datos!AL18))," - ")</f>
        <v>-0.20215633423180593</v>
      </c>
      <c r="D18" s="855">
        <f>IF(ISNUMBER(
   IF(Criterios!B14="SI",(Datos!K18-Datos!U18)/Datos!U18,(Datos!K18+Datos!AE18-(Datos!U18+Datos!AM18))/(Datos!U18+Datos!AM18))
     ),IF(Criterios!B14="SI",(Datos!K18-Datos!U18)/Datos!U18,(Datos!K18+Datos!AE18-(Datos!U18+Datos!AM18))/(Datos!U18+Datos!AM18))," - ")</f>
        <v>-6.0941828254847646E-2</v>
      </c>
      <c r="E18" s="855">
        <f>IF(ISNUMBER(
   IF(Criterios!B14="SI",(Datos!L18-Datos!V18)/Datos!V18,(Datos!L18+Datos!AF18-(Datos!V18+Datos!AN18))/(Datos!V18+Datos!AN18))
     ),IF(Criterios!B14="SI",(Datos!L18-Datos!V18)/Datos!V18,(Datos!L18+Datos!AF18-(Datos!V18+Datos!AN18))/(Datos!V18+Datos!AN18))," - ")</f>
        <v>8.0996884735202487E-2</v>
      </c>
      <c r="F18" s="856">
        <f>IF(ISNUMBER((Datos!M18-Datos!W18)/Datos!W18),(Datos!M18-Datos!W18)/Datos!W18," - ")</f>
        <v>-0.2558139534883721</v>
      </c>
      <c r="G18" s="857">
        <f>IF(ISNUMBER((Datos!N18-Datos!X18)/Datos!X18),(Datos!N18-Datos!X18)/Datos!X18," - ")</f>
        <v>-9.056603773584905E-2</v>
      </c>
      <c r="H18" s="857">
        <f>IF(ISNUMBER(((NºAsuntos!G18/NºAsuntos!E18)-Datos!BD18)/Datos!BD18),((NºAsuntos!G18/NºAsuntos!E18)-Datos!BD18)/Datos!BD18," - ")</f>
        <v>0.17699520850490372</v>
      </c>
      <c r="I18" s="857">
        <f>IF(ISNUMBER(((NºAsuntos!I18/NºAsuntos!G18)-Datos!BE18)/Datos!BE18),((NºAsuntos!I18/NºAsuntos!G18)-Datos!BE18)/Datos!BE18," - ")</f>
        <v>0.15115007489500934</v>
      </c>
      <c r="J18" s="857">
        <f>IF(ISNUMBER((('Resol  Asuntos'!D18/NºAsuntos!G18)-Datos!BF18)/Datos!BF18),(('Resol  Asuntos'!D18/NºAsuntos!G18)-Datos!BF18)/Datos!BF18," - ")</f>
        <v>-0.20751869383275023</v>
      </c>
      <c r="K18" s="857">
        <f>IF(ISNUMBER((((NºAsuntos!C18+NºAsuntos!E18)/NºAsuntos!G18)-Datos!BG18)/Datos!BG18),(((NºAsuntos!C18+NºAsuntos!E18)/NºAsuntos!G18)-Datos!BG18)/Datos!BG18," - ")</f>
        <v>9.2473762766044923E-2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7.2102425876010776E-2</v>
      </c>
      <c r="C19" s="802">
        <f>IF(ISNUMBER(
   IF(J_V="SI",(Datos!J19-Datos!T19)/Datos!T19,(Datos!J19+Datos!Z19-(Datos!T19+Datos!AH19))/(Datos!T19+Datos!AH19))
     ),IF(J_V="SI",(Datos!J19-Datos!T19)/Datos!T19,(Datos!J19+Datos!Z19-(Datos!T19+Datos!AH19))/(Datos!T19+Datos!AH19))," - ")</f>
        <v>-0.2263843648208469</v>
      </c>
      <c r="D19" s="802">
        <f>IF(ISNUMBER(
   IF(J_V="SI",(Datos!K19-Datos!U19)/Datos!U19,(Datos!K19+Datos!AA19-(Datos!U19+Datos!AI19))/(Datos!U19+Datos!AI19))
     ),IF(J_V="SI",(Datos!K19-Datos!U19)/Datos!U19,(Datos!K19+Datos!AA19-(Datos!U19+Datos!AI19))/(Datos!U19+Datos!AI19))," - ")</f>
        <v>-7.3275862068965511E-2</v>
      </c>
      <c r="E19" s="802">
        <f>IF(ISNUMBER(
   IF(J_V="SI",(Datos!L19-Datos!V19)/Datos!V19,(Datos!L19+Datos!AB19-(Datos!V19+Datos!AJ19))/(Datos!V19+Datos!AJ19))
     ),IF(J_V="SI",(Datos!L19-Datos!V19)/Datos!V19,(Datos!L19+Datos!AB19-(Datos!V19+Datos!AJ19))/(Datos!V19+Datos!AJ19))," - ")</f>
        <v>1.6416845110635261E-2</v>
      </c>
      <c r="F19" s="803">
        <f>IF(ISNUMBER((Datos!M19-Datos!W19)/Datos!W19),(Datos!M19-Datos!W19)/Datos!W19," - ")</f>
        <v>-0.20168067226890757</v>
      </c>
      <c r="G19" s="804">
        <f>IF(ISNUMBER((Datos!N19-Datos!X19)/Datos!X19),(Datos!N19-Datos!X19)/Datos!X19," - ")</f>
        <v>-3.8461538461538464E-2</v>
      </c>
      <c r="H19" s="805">
        <f>IF(ISNUMBER((Tasas!B19-Datos!BD19)/Datos!BD19),(Tasas!B19-Datos!BD19)/Datos!BD19," - ")</f>
        <v>0.19791288566243187</v>
      </c>
      <c r="I19" s="806">
        <f>IF(ISNUMBER((Tasas!C19-Datos!BE19)/Datos!BE19),(Tasas!C19-Datos!BE19)/Datos!BE19," - ")</f>
        <v>9.6784688677522893E-2</v>
      </c>
      <c r="J19" s="807">
        <f>IF(ISNUMBER((Tasas!D19-Datos!BF19)/Datos!BF19),(Tasas!D19-Datos!BF19)/Datos!BF19," - ")</f>
        <v>-0.39342232007706063</v>
      </c>
      <c r="K19" s="807">
        <f>IF(ISNUMBER((Tasas!E19-Datos!BG19)/Datos!BG19),(Tasas!E19-Datos!BG19)/Datos!BG19," - ")</f>
        <v>6.2611124659143841E-2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zlfhMbfOts3RBLbIBwJd568wZrS4LCBr1BTRKkqg41WRpuqezSGH8weoApZsBM7zgrpMeieW9EyhSKdaP/mYg==" saltValue="Ac/flBpL6nGr/1jChmQL4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SEU D'URGELL,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25</v>
      </c>
      <c r="D10" s="444">
        <f>IF(ISNUMBER('Resol  Asuntos'!D10/NºAsuntos!G10),'Resol  Asuntos'!D10/NºAsuntos!G10," - ")</f>
        <v>1</v>
      </c>
      <c r="E10" s="445">
        <f>IF(ISNUMBER((NºAsuntos!C10+NºAsuntos!E10)/NºAsuntos!G10),(NºAsuntos!C10+NºAsuntos!E10)/NºAsuntos!G10," - ")</f>
        <v>26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1.7231638418079096</v>
      </c>
      <c r="C12" s="443">
        <f>IF(ISNUMBER(NºAsuntos!I12/NºAsuntos!G12),NºAsuntos!I12/NºAsuntos!G12," - ")</f>
        <v>2.3114754098360657</v>
      </c>
      <c r="D12" s="444">
        <f>IF(ISNUMBER('Resol  Asuntos'!D12/NºAsuntos!G12),'Resol  Asuntos'!D12/NºAsuntos!G12," - ")</f>
        <v>0.20327868852459016</v>
      </c>
      <c r="E12" s="445">
        <f>IF(ISNUMBER((NºAsuntos!C12+NºAsuntos!E12)/NºAsuntos!G12),(NºAsuntos!C12+NºAsuntos!E12)/NºAsuntos!G12," - ")</f>
        <v>3.3114754098360657</v>
      </c>
      <c r="G12" s="463"/>
    </row>
    <row r="13" spans="1:7" ht="14.25" thickTop="1" thickBot="1">
      <c r="A13" s="848" t="str">
        <f>Datos!A13</f>
        <v>TOTAL</v>
      </c>
      <c r="B13" s="858">
        <f>IF(ISNUMBER(NºAsuntos!G13/NºAsuntos!E13),NºAsuntos!G13/NºAsuntos!E13," - ")</f>
        <v>1.7094972067039107</v>
      </c>
      <c r="C13" s="859">
        <f>IF(ISNUMBER(NºAsuntos!I13/NºAsuntos!G13),NºAsuntos!I13/NºAsuntos!G13," - ")</f>
        <v>2.3856209150326797</v>
      </c>
      <c r="D13" s="860">
        <f>IF(ISNUMBER('Resol  Asuntos'!D13/NºAsuntos!G13),'Resol  Asuntos'!D13/NºAsuntos!G13," - ")</f>
        <v>0.20588235294117646</v>
      </c>
      <c r="E13" s="861">
        <f>IF(ISNUMBER((NºAsuntos!C13+NºAsuntos!E13)/NºAsuntos!G13),(NºAsuntos!C13+NºAsuntos!E13)/NºAsuntos!G13," - ")</f>
        <v>3.3856209150326797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1.1814814814814816</v>
      </c>
      <c r="C16" s="443">
        <f>IF(ISNUMBER(NºAsuntos!I16/NºAsuntos!G16),NºAsuntos!I16/NºAsuntos!G16," - ")</f>
        <v>1.9216300940438871</v>
      </c>
      <c r="D16" s="444">
        <f>IF(ISNUMBER('Resol  Asuntos'!D16/NºAsuntos!G16),'Resol  Asuntos'!D16/NºAsuntos!G16," - ")</f>
        <v>9.4043887147335428E-2</v>
      </c>
      <c r="E16" s="445">
        <f>IF(ISNUMBER((NºAsuntos!C16+NºAsuntos!E16)/NºAsuntos!G16),(NºAsuntos!C16+NºAsuntos!E16)/NºAsuntos!G16," - ")</f>
        <v>2.915360501567398</v>
      </c>
      <c r="G16" s="463"/>
    </row>
    <row r="17" spans="1:7" ht="13.5" thickBot="1">
      <c r="A17" s="402" t="str">
        <f>Datos!A17</f>
        <v>Jdos. Violencia contra la mujer</v>
      </c>
      <c r="B17" s="442">
        <f>IF(ISNUMBER(NºAsuntos!G17/NºAsuntos!E17),NºAsuntos!G17/NºAsuntos!E17," - ")</f>
        <v>0.76923076923076927</v>
      </c>
      <c r="C17" s="443">
        <f>IF(ISNUMBER(NºAsuntos!I17/NºAsuntos!G17),NºAsuntos!I17/NºAsuntos!G17," - ")</f>
        <v>4.05</v>
      </c>
      <c r="D17" s="444">
        <f>IF(ISNUMBER('Resol  Asuntos'!D17/NºAsuntos!G17),'Resol  Asuntos'!D17/NºAsuntos!G17," - ")</f>
        <v>0.1</v>
      </c>
      <c r="E17" s="445">
        <f>IF(ISNUMBER((NºAsuntos!C17+NºAsuntos!E17)/NºAsuntos!G17),(NºAsuntos!C17+NºAsuntos!E17)/NºAsuntos!G17," - ")</f>
        <v>5</v>
      </c>
      <c r="G17" s="463"/>
    </row>
    <row r="18" spans="1:7" ht="14.25" thickTop="1" thickBot="1">
      <c r="A18" s="848" t="str">
        <f>Datos!A18</f>
        <v>TOTAL</v>
      </c>
      <c r="B18" s="858">
        <f>IF(ISNUMBER(NºAsuntos!G18/NºAsuntos!E18),NºAsuntos!G18/NºAsuntos!E18," - ")</f>
        <v>1.1452702702702702</v>
      </c>
      <c r="C18" s="859">
        <f>IF(ISNUMBER(NºAsuntos!I18/NºAsuntos!G18),NºAsuntos!I18/NºAsuntos!G18," - ")</f>
        <v>2.0471976401179943</v>
      </c>
      <c r="D18" s="862">
        <f>IF(ISNUMBER('Resol  Asuntos'!D18/NºAsuntos!G18),'Resol  Asuntos'!D18/NºAsuntos!G18," - ")</f>
        <v>9.4395280235988199E-2</v>
      </c>
      <c r="E18" s="861">
        <f>IF(ISNUMBER((NºAsuntos!C18+NºAsuntos!E18)/NºAsuntos!G18),(NºAsuntos!C18+NºAsuntos!E18)/NºAsuntos!G18," - ")</f>
        <v>3.0383480825958702</v>
      </c>
      <c r="G18" s="463"/>
    </row>
    <row r="19" spans="1:7" ht="15.75" customHeight="1" thickTop="1" thickBot="1">
      <c r="A19" s="793" t="str">
        <f>Datos!A19</f>
        <v>TOTAL JURISDICCIONES</v>
      </c>
      <c r="B19" s="808">
        <f>IF(ISNUMBER(NºAsuntos!G19/NºAsuntos!E19),NºAsuntos!G19/NºAsuntos!E19," - ")</f>
        <v>1.3578947368421053</v>
      </c>
      <c r="C19" s="809">
        <f>IF(ISNUMBER(NºAsuntos!I19/NºAsuntos!G19),NºAsuntos!I19/NºAsuntos!G19," - ")</f>
        <v>2.2077519379844963</v>
      </c>
      <c r="D19" s="810">
        <f>IF(ISNUMBER('Resol  Asuntos'!D19/NºAsuntos!G19),'Resol  Asuntos'!D19/NºAsuntos!G19," - ")</f>
        <v>0.14728682170542637</v>
      </c>
      <c r="E19" s="811">
        <f>IF(ISNUMBER((NºAsuntos!C19+NºAsuntos!E19)/NºAsuntos!G19),(NºAsuntos!C19+NºAsuntos!E19)/NºAsuntos!G19," - ")</f>
        <v>3.2031007751937985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mzPmP8Czt+SRZs2yG24Jeyb6MKuIszyUr+rBF0iybzxFF91f9wLvtvdFn7Bm10+cidD8iseDMJN+3OL8xakNw==" saltValue="jLrUKe2HHw+vMTtWNCdF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SEU D'URGELL,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v>
      </c>
      <c r="G10" s="333">
        <f>IF(ISNUMBER(Datos!I10),Datos!I10," - ")</f>
        <v>24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25</v>
      </c>
      <c r="AB10" s="334">
        <f>IF(ISNUMBER(Datos!R10),Datos!R10," - ")</f>
        <v>15</v>
      </c>
      <c r="AC10" s="334">
        <f t="shared" ref="AC10:AC12" si="1">IF(ISNUMBER(AA10+AB10),AA10+AB10," - ")</f>
        <v>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75</v>
      </c>
      <c r="AN10" s="244">
        <f>IF(ISNUMBER('Resol  Asuntos'!D10/NºAsuntos!G10),'Resol  Asuntos'!D10/NºAsuntos!G10," - ")</f>
        <v>1</v>
      </c>
      <c r="AO10" s="245">
        <f>IF(ISNUMBER((NºAsuntos!C10+NºAsuntos!E10)/NºAsuntos!G10),(NºAsuntos!C10+NºAsuntos!E10)/NºAsuntos!G10," - ")</f>
        <v>26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v>
      </c>
      <c r="Y12" s="334">
        <f t="shared" si="0"/>
        <v>27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1252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v>
      </c>
      <c r="AJ12" s="229" t="str">
        <f>IF(ISNUMBER(Datos!BW12),Datos!BW12," - ")</f>
        <v xml:space="preserve"> - </v>
      </c>
      <c r="AK12" s="228" t="str">
        <f>IF(ISNUMBER(Datos!BX12),Datos!BX12," - ")</f>
        <v xml:space="preserve"> - </v>
      </c>
      <c r="AL12" s="243">
        <f>IF(ISNUMBER(NºAsuntos!G12/NºAsuntos!E12),NºAsuntos!G12/NºAsuntos!E12," - ")</f>
        <v>1.7231638418079096</v>
      </c>
      <c r="AM12" s="260">
        <f>IF(ISNUMBER(((NºAsuntos!I12/NºAsuntos!G12)*11)/factor_trimestre),((NºAsuntos!I12/NºAsuntos!G12)*11)/factor_trimestre," - ")</f>
        <v>6.9344262295081975</v>
      </c>
      <c r="AN12" s="244">
        <f>IF(ISNUMBER('Resol  Asuntos'!D12/NºAsuntos!G12),'Resol  Asuntos'!D12/NºAsuntos!G12," - ")</f>
        <v>0.20327868852459016</v>
      </c>
      <c r="AO12" s="245">
        <f>IF(ISNUMBER((NºAsuntos!C12+NºAsuntos!E12)/NºAsuntos!G12),(NºAsuntos!C12+NºAsuntos!E12)/NºAsuntos!G12," - ")</f>
        <v>3.3114754098360657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24</v>
      </c>
      <c r="G13" s="866">
        <f t="shared" si="3"/>
        <v>24</v>
      </c>
      <c r="H13" s="865">
        <f t="shared" si="3"/>
        <v>0</v>
      </c>
      <c r="I13" s="867">
        <f t="shared" si="3"/>
        <v>0</v>
      </c>
      <c r="J13" s="867">
        <f t="shared" si="3"/>
        <v>0</v>
      </c>
      <c r="K13" s="867">
        <f t="shared" si="3"/>
        <v>0</v>
      </c>
      <c r="L13" s="867">
        <f t="shared" si="3"/>
        <v>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27</v>
      </c>
      <c r="Y13" s="868">
        <f t="shared" si="4"/>
        <v>28</v>
      </c>
      <c r="Z13" s="868">
        <f t="shared" si="4"/>
        <v>0</v>
      </c>
      <c r="AA13" s="868">
        <f t="shared" si="4"/>
        <v>25</v>
      </c>
      <c r="AB13" s="868">
        <f t="shared" si="4"/>
        <v>1267</v>
      </c>
      <c r="AC13" s="868">
        <f t="shared" si="4"/>
        <v>40</v>
      </c>
      <c r="AD13" s="868">
        <f t="shared" si="4"/>
        <v>0</v>
      </c>
      <c r="AE13" s="872">
        <f t="shared" si="4"/>
        <v>0</v>
      </c>
      <c r="AF13" s="865">
        <f t="shared" si="4"/>
        <v>0</v>
      </c>
      <c r="AG13" s="873">
        <f t="shared" si="4"/>
        <v>0</v>
      </c>
      <c r="AH13" s="870">
        <f t="shared" si="4"/>
        <v>0</v>
      </c>
      <c r="AI13" s="865">
        <f t="shared" si="4"/>
        <v>63</v>
      </c>
      <c r="AJ13" s="867">
        <f t="shared" si="4"/>
        <v>0</v>
      </c>
      <c r="AK13" s="870">
        <f>SUBTOTAL(9,AK9:AK12)</f>
        <v>0</v>
      </c>
      <c r="AL13" s="874">
        <f>IF(ISNUMBER(NºAsuntos!G13/NºAsuntos!E13),NºAsuntos!G13/NºAsuntos!E13," - ")</f>
        <v>1.7094972067039107</v>
      </c>
      <c r="AM13" s="874">
        <f>IF(ISNUMBER(((NºAsuntos!I13/NºAsuntos!G13)*11)/factor_trimestre),((NºAsuntos!I13/NºAsuntos!G13)*11)/factor_trimestre," - ")</f>
        <v>7.1568627450980395</v>
      </c>
      <c r="AN13" s="875">
        <f>IF(ISNUMBER('Resol  Asuntos'!D13/NºAsuntos!G13),'Resol  Asuntos'!D13/NºAsuntos!G13," - ")</f>
        <v>0.20588235294117646</v>
      </c>
      <c r="AO13" s="876">
        <f>IF(ISNUMBER((NºAsuntos!C13+NºAsuntos!E13)/NºAsuntos!G13),(NºAsuntos!C13+NºAsuntos!E13)/NºAsuntos!G13," - ")</f>
        <v>3.3856209150326797</v>
      </c>
      <c r="AP13" s="877" t="str">
        <f t="shared" si="2"/>
        <v xml:space="preserve"> - </v>
      </c>
      <c r="AQ13" s="877">
        <f>IF(ISNUMBER((H13-W13+K13)/(F13)),(H13-W13+K13)/(F13)," - ")</f>
        <v>-4.1666666666666664E-2</v>
      </c>
      <c r="AR13" s="878">
        <f>IF(ISNUMBER((Datos!P13-Datos!Q13)/(Datos!R13-Datos!P13+Datos!Q13)),(Datos!P13-Datos!Q13)/(Datos!R13-Datos!P13+Datos!Q13)," - ")</f>
        <v>5.936454849498328E-2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662</v>
      </c>
      <c r="G16" s="333">
        <f>IF(ISNUMBER(IF(D_I="SI",Datos!I16,Datos!I16+Datos!AC16)),IF(D_I="SI",Datos!I16,Datos!I16+Datos!AC16)," - ")</f>
        <v>660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319</v>
      </c>
      <c r="X16" s="226">
        <f>IF(ISNUMBER(Datos!Q16),Datos!Q16," - ")</f>
        <v>2</v>
      </c>
      <c r="Y16" s="334">
        <f t="shared" ref="Y16:Y17" si="7">SUM(W16:X16)</f>
        <v>321</v>
      </c>
      <c r="Z16" s="335" t="str">
        <f>IF(ISNUMBER(Datos!CC16),Datos!CC16," - ")</f>
        <v xml:space="preserve"> - </v>
      </c>
      <c r="AA16" s="332">
        <f>IF(ISNUMBER(IF(D_I="SI",Datos!L16,Datos!L16+Datos!AF16)),IF(D_I="SI",Datos!L16,Datos!L16+Datos!AF16)," - ")</f>
        <v>613</v>
      </c>
      <c r="AB16" s="334">
        <f>IF(ISNUMBER(Datos!R16),Datos!R16," - ")</f>
        <v>20</v>
      </c>
      <c r="AC16" s="334">
        <f t="shared" si="6"/>
        <v>633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1.1814814814814816</v>
      </c>
      <c r="AM16" s="260">
        <f>IF(ISNUMBER(((NºAsuntos!I16/NºAsuntos!G16)*11)/factor_trimestre),((NºAsuntos!I16/NºAsuntos!G16)*11)/factor_trimestre," - ")</f>
        <v>5.7648902821316614</v>
      </c>
      <c r="AN16" s="244">
        <f>IF(ISNUMBER('Resol  Asuntos'!D16/NºAsuntos!G16),'Resol  Asuntos'!D16/NºAsuntos!G16," - ")</f>
        <v>9.4043887147335428E-2</v>
      </c>
      <c r="AO16" s="245">
        <f>IF(ISNUMBER((NºAsuntos!C16+NºAsuntos!E16)/NºAsuntos!G16),(NºAsuntos!C16+NºAsuntos!E16)/NºAsuntos!G16," - ")</f>
        <v>2.915360501567398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v>
      </c>
      <c r="X17" s="226">
        <f>IF(ISNUMBER(Datos!Q17),Datos!Q17," - ")</f>
        <v>0</v>
      </c>
      <c r="Y17" s="334">
        <f t="shared" si="7"/>
        <v>20</v>
      </c>
      <c r="Z17" s="335" t="str">
        <f>IF(ISNUMBER(Datos!CC17),Datos!CC17," - ")</f>
        <v xml:space="preserve"> - </v>
      </c>
      <c r="AA17" s="332">
        <f>IF(ISNUMBER(Datos!L17),Datos!L17,"-")</f>
        <v>81</v>
      </c>
      <c r="AB17" s="334">
        <f>IF(ISNUMBER(Datos!R17),Datos!R17," - ")</f>
        <v>0</v>
      </c>
      <c r="AC17" s="334">
        <f t="shared" si="6"/>
        <v>81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0.76923076923076927</v>
      </c>
      <c r="AM17" s="260">
        <f>IF(ISNUMBER(((NºAsuntos!I17/NºAsuntos!G17)*11)/factor_trimestre),((NºAsuntos!I17/NºAsuntos!G17)*11)/factor_trimestre," - ")</f>
        <v>12.15</v>
      </c>
      <c r="AN17" s="244">
        <f>IF(ISNUMBER('Resol  Asuntos'!D17/NºAsuntos!G17),'Resol  Asuntos'!D17/NºAsuntos!G17," - ")</f>
        <v>0.1</v>
      </c>
      <c r="AO17" s="245">
        <f>IF(ISNUMBER((NºAsuntos!C17+NºAsuntos!E17)/NºAsuntos!G17),(NºAsuntos!C17+NºAsuntos!E17)/NºAsuntos!G17," - ")</f>
        <v>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662</v>
      </c>
      <c r="G18" s="866">
        <f>SUBTOTAL(9,G15:G17)</f>
        <v>734</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339</v>
      </c>
      <c r="X18" s="867">
        <f t="shared" si="11"/>
        <v>2</v>
      </c>
      <c r="Y18" s="868">
        <f t="shared" si="11"/>
        <v>341</v>
      </c>
      <c r="Z18" s="868">
        <f t="shared" si="11"/>
        <v>0</v>
      </c>
      <c r="AA18" s="868">
        <f t="shared" si="11"/>
        <v>694</v>
      </c>
      <c r="AB18" s="868">
        <f t="shared" si="11"/>
        <v>20</v>
      </c>
      <c r="AC18" s="868">
        <f t="shared" si="11"/>
        <v>714</v>
      </c>
      <c r="AD18" s="868">
        <f t="shared" si="11"/>
        <v>0</v>
      </c>
      <c r="AE18" s="872">
        <f t="shared" si="11"/>
        <v>0</v>
      </c>
      <c r="AF18" s="865">
        <f t="shared" si="11"/>
        <v>0</v>
      </c>
      <c r="AG18" s="873">
        <f t="shared" si="11"/>
        <v>0</v>
      </c>
      <c r="AH18" s="870">
        <f t="shared" si="11"/>
        <v>0</v>
      </c>
      <c r="AI18" s="865">
        <f t="shared" si="11"/>
        <v>32</v>
      </c>
      <c r="AJ18" s="867">
        <f t="shared" si="11"/>
        <v>0</v>
      </c>
      <c r="AK18" s="870">
        <f t="shared" si="11"/>
        <v>0</v>
      </c>
      <c r="AL18" s="874">
        <f>IF(ISNUMBER(NºAsuntos!G18/NºAsuntos!E18),NºAsuntos!G18/NºAsuntos!E18," - ")</f>
        <v>1.1452702702702702</v>
      </c>
      <c r="AM18" s="874">
        <f>IF(ISNUMBER(((NºAsuntos!I18/NºAsuntos!G18)*11)/factor_trimestre),((NºAsuntos!I18/NºAsuntos!G18)*11)/factor_trimestre," - ")</f>
        <v>6.1415929203539834</v>
      </c>
      <c r="AN18" s="875">
        <f>IF(ISNUMBER('Resol  Asuntos'!D18/NºAsuntos!G18),'Resol  Asuntos'!D18/NºAsuntos!G18," - ")</f>
        <v>9.4395280235988199E-2</v>
      </c>
      <c r="AO18" s="876">
        <f>IF(ISNUMBER((NºAsuntos!C18+NºAsuntos!E18)/NºAsuntos!G18),(NºAsuntos!C18+NºAsuntos!E18)/NºAsuntos!G18," - ")</f>
        <v>3.0383480825958702</v>
      </c>
      <c r="AP18" s="877" t="str">
        <f t="shared" si="2"/>
        <v xml:space="preserve"> - </v>
      </c>
      <c r="AQ18" s="877">
        <f>IF(ISNUMBER((H18-W18+K18)/(F18)),(H18-W18+K18)/(F18)," - ")</f>
        <v>-0.51208459214501512</v>
      </c>
      <c r="AR18" s="878">
        <f>IF(ISNUMBER((Datos!P18-Datos!Q18)/(Datos!R18-Datos!P18+Datos!Q18)),(Datos!P18-Datos!Q18)/(Datos!R18-Datos!P18+Datos!Q18)," - ")</f>
        <v>5.2631578947368418E-2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686</v>
      </c>
      <c r="G19" s="821">
        <f t="shared" si="13"/>
        <v>758</v>
      </c>
      <c r="H19" s="820">
        <f t="shared" si="13"/>
        <v>0</v>
      </c>
      <c r="I19" s="822">
        <f t="shared" si="13"/>
        <v>0</v>
      </c>
      <c r="J19" s="822">
        <f t="shared" si="13"/>
        <v>0</v>
      </c>
      <c r="K19" s="881">
        <f t="shared" si="13"/>
        <v>0</v>
      </c>
      <c r="L19" s="822">
        <f t="shared" si="13"/>
        <v>101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340</v>
      </c>
      <c r="X19" s="821">
        <f t="shared" si="14"/>
        <v>29</v>
      </c>
      <c r="Y19" s="828">
        <f t="shared" si="14"/>
        <v>369</v>
      </c>
      <c r="Z19" s="828">
        <f t="shared" si="14"/>
        <v>0</v>
      </c>
      <c r="AA19" s="828">
        <f t="shared" si="14"/>
        <v>719</v>
      </c>
      <c r="AB19" s="828">
        <f t="shared" si="14"/>
        <v>1287</v>
      </c>
      <c r="AC19" s="828">
        <f t="shared" si="14"/>
        <v>754</v>
      </c>
      <c r="AD19" s="828">
        <f t="shared" si="14"/>
        <v>0</v>
      </c>
      <c r="AE19" s="830">
        <f t="shared" si="14"/>
        <v>0</v>
      </c>
      <c r="AF19" s="831">
        <f t="shared" si="14"/>
        <v>0</v>
      </c>
      <c r="AG19" s="832">
        <f t="shared" si="14"/>
        <v>0</v>
      </c>
      <c r="AH19" s="830">
        <f t="shared" si="14"/>
        <v>0</v>
      </c>
      <c r="AI19" s="820">
        <f t="shared" si="14"/>
        <v>95</v>
      </c>
      <c r="AJ19" s="820">
        <f t="shared" si="14"/>
        <v>0</v>
      </c>
      <c r="AK19" s="830">
        <f t="shared" si="14"/>
        <v>0</v>
      </c>
      <c r="AL19" s="884">
        <f>IF(ISNUMBER(NºAsuntos!G19/NºAsuntos!E19),NºAsuntos!G19/NºAsuntos!E19," - ")</f>
        <v>1.3578947368421053</v>
      </c>
      <c r="AM19" s="885">
        <f>IF(ISNUMBER(((NºAsuntos!I19/NºAsuntos!G19)*11)/factor_trimestre),((NºAsuntos!I19/NºAsuntos!G19)*11)/factor_trimestre," - ")</f>
        <v>6.6232558139534889</v>
      </c>
      <c r="AN19" s="885">
        <f>IF(ISNUMBER('Resol  Asuntos'!D19/NºAsuntos!G19),'Resol  Asuntos'!D19/NºAsuntos!G19," - ")</f>
        <v>0.14728682170542637</v>
      </c>
      <c r="AO19" s="886">
        <f>IF(ISNUMBER((NºAsuntos!C19+NºAsuntos!E19)/NºAsuntos!G19),(NºAsuntos!C19+NºAsuntos!E19)/NºAsuntos!G19," - ")</f>
        <v>3.2031007751937985</v>
      </c>
      <c r="AP19" s="887" t="str">
        <f t="shared" si="2"/>
        <v xml:space="preserve"> - </v>
      </c>
      <c r="AQ19" s="888">
        <f>IF(OR(ISNUMBER(FIND("01",Criterios!A8,1)),ISNUMBER(FIND("02",Criterios!A8,1)),ISNUMBER(FIND("03",Criterios!A8,1)),ISNUMBER(FIND("04",Criterios!A8,1))),(I19-W19+K19)/(F19-K19),(H19-W19+K19)/(F19-K19))</f>
        <v>-0.49562682215743442</v>
      </c>
      <c r="AR19" s="889">
        <f>IF(ISNUMBER((Datos!P19-Datos!Q19)/(Datos!R19-Datos!P19+Datos!Q19)),(Datos!P19-Datos!Q19)/(Datos!R19-Datos!P19+Datos!Q19)," - ")</f>
        <v>5.9259259259259262E-2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303.2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368.34947174298122</v>
      </c>
      <c r="G21" s="253">
        <f>IF(ISNUMBER(STDEV(G8:G18)),STDEV(G8:G18),"-")</f>
        <v>361.01689711147873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176.49645888799014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27.295909339435216</v>
      </c>
      <c r="AJ21" s="252">
        <f t="shared" si="18"/>
        <v>0</v>
      </c>
      <c r="AK21" s="254">
        <f t="shared" si="18"/>
        <v>0</v>
      </c>
      <c r="AL21" s="249">
        <f t="shared" si="18"/>
        <v>0.49138465184081953</v>
      </c>
      <c r="AM21" s="250">
        <f t="shared" si="18"/>
        <v>27.601254259939616</v>
      </c>
      <c r="AN21" s="250">
        <f t="shared" si="18"/>
        <v>0.35529051359530317</v>
      </c>
      <c r="AO21" s="251">
        <f t="shared" si="18"/>
        <v>9.2042786003138062</v>
      </c>
      <c r="AP21" s="291" t="str">
        <f t="shared" si="18"/>
        <v>-</v>
      </c>
      <c r="AQ21" s="292">
        <f t="shared" si="18"/>
        <v>0.33263570509744816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PGFrPZhIX8fcd7lERG2bdRSUhHNH7ScAjIgTMS2LM+cvd0U68tJhDxgJUbvYnFmkEJWyUE038fFhz6DaCB7eg==" saltValue="UeGDPkDiwW0nA7duLDOY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SEU D'URGELL,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9.0909090909090912E-2</v>
      </c>
      <c r="E10" s="348">
        <f>IF(ISNUMBER((Datos!J10-Datos!T10)/Datos!T10),(Datos!J10-Datos!T10)/Datos!T10," - ")</f>
        <v>-0.66666666666666663</v>
      </c>
      <c r="F10" s="348">
        <f>IF(ISNUMBER((Datos!K10-Datos!U10)/Datos!U10),(Datos!K10-Datos!U10)/Datos!U10," - ")</f>
        <v>-0.5</v>
      </c>
      <c r="G10" s="349">
        <f>IF(ISNUMBER((Datos!L10-Datos!V10)/Datos!V10),(Datos!L10-Datos!V10)/Datos!V10," - ")</f>
        <v>-3.8461538461538464E-2</v>
      </c>
      <c r="H10" s="230">
        <f>IF(ISNUMBER((Datos!M10-Datos!W10)/Datos!W10),(Datos!M10-Datos!W10)/Datos!W10," - ")</f>
        <v>0</v>
      </c>
      <c r="I10" s="350">
        <f>IF(ISNUMBER((Tasas!C10-Datos!BE10)/Datos!BE10),(Tasas!C10-Datos!BE10)/Datos!BE10," - ")</f>
        <v>0.92307692307692313</v>
      </c>
      <c r="J10" s="349">
        <f>IF(ISNUMBER((Tasas!D10-Datos!BF10)/Datos!BF10),(Tasas!D10-Datos!BF10)/Datos!BF10," - ")</f>
        <v>1</v>
      </c>
      <c r="K10" s="351">
        <f>IF(ISNUMBER((Tasas!E10-Datos!BG10)/Datos!BG10),(Tasas!E10-Datos!BG10)/Datos!BG10," - ")</f>
        <v>0.8571428571428571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-0.17333333333333334</v>
      </c>
      <c r="I12" s="350">
        <f>IF(ISNUMBER((Tasas!C12-Datos!BE12)/Datos!BE12),(Tasas!C12-Datos!BE12)/Datos!BE12," - ")</f>
        <v>5.009728714244184E-2</v>
      </c>
      <c r="J12" s="349">
        <f>IF(ISNUMBER((Tasas!D12-Datos!BF12)/Datos!BF12),(Tasas!D12-Datos!BF12)/Datos!BF12," - ")</f>
        <v>-0.4584655737704918</v>
      </c>
      <c r="K12" s="351">
        <f>IF(ISNUMBER((Tasas!E12-Datos!BG12)/Datos!BG12),(Tasas!E12-Datos!BG12)/Datos!BG12," - ")</f>
        <v>3.4447759357795378E-2</v>
      </c>
      <c r="M12" t="e">
        <f>IF(Monitorios="SI",Datos!CE12,0)</f>
        <v>#REF!</v>
      </c>
      <c r="N12" t="e">
        <f>IF(Monitorios="SI",Datos!CF12,0)</f>
        <v>#REF!</v>
      </c>
      <c r="O12" t="e">
        <f>IF(Monitorios="SI",Datos!CG12,0)</f>
        <v>#REF!</v>
      </c>
      <c r="P12" t="e">
        <f>IF(Monitorios="SI",Datos!CH12,0)</f>
        <v>#REF!</v>
      </c>
      <c r="Q12">
        <f>IF(J_V="SI",0,Datos!AG12)</f>
        <v>14</v>
      </c>
      <c r="R12">
        <f>IF(J_V="SI",0,Datos!AH12)</f>
        <v>12</v>
      </c>
      <c r="S12">
        <f>IF(J_V="SI",0,Datos!AI12)</f>
        <v>17</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-0.17105263157894737</v>
      </c>
      <c r="I13" s="357">
        <f>IF(ISNUMBER((Tasas!C13-Datos!BE13)/Datos!BE13),(Tasas!C13-Datos!BE13)/Datos!BE13," - ")</f>
        <v>5.2942037596768951E-2</v>
      </c>
      <c r="J13" s="355">
        <f>IF(ISNUMBER((Tasas!D13-Datos!BF13)/Datos!BF13),(Tasas!D13-Datos!BF13)/Datos!BF13," - ")</f>
        <v>-0.45261437908496732</v>
      </c>
      <c r="K13" s="358">
        <f>IF(ISNUMBER((Tasas!E13-Datos!BG13)/Datos!BG13),(Tasas!E13-Datos!BG13)/Datos!BG13," - ")</f>
        <v>3.6730353323535317E-2</v>
      </c>
      <c r="M13" t="e">
        <f>IF(Monitorios="SI",Datos!CE13,0)</f>
        <v>#REF!</v>
      </c>
      <c r="N13" t="e">
        <f>IF(Monitorios="SI",Datos!CF13,0)</f>
        <v>#REF!</v>
      </c>
      <c r="O13" t="e">
        <f>IF(Monitorios="SI",Datos!CG13,0)</f>
        <v>#REF!</v>
      </c>
      <c r="P13" t="e">
        <f>IF(Monitorios="SI",Datos!CH13,0)</f>
        <v>#REF!</v>
      </c>
      <c r="Q13">
        <f>IF(J_V="SI",0,Datos!AG13)</f>
        <v>14</v>
      </c>
      <c r="R13">
        <f>IF(J_V="SI",0,Datos!AH13)</f>
        <v>12</v>
      </c>
      <c r="S13">
        <f>IF(J_V="SI",0,Datos!AI13)</f>
        <v>17</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0.13402061855670103</v>
      </c>
      <c r="E16" s="348">
        <f>IF(ISNUMBER(
   IF(D_I="SI",(Datos!J16-Datos!T16)/Datos!T16,(Datos!J16+Datos!AD16-(Datos!T16+Datos!AL16))/(Datos!T16+Datos!AL16))
     ),IF(D_I="SI",(Datos!J16-Datos!T16)/Datos!T16,(Datos!J16+Datos!AD16-(Datos!T16+Datos!AL16))/(Datos!T16+Datos!AL16))," - ")</f>
        <v>-0.14826498422712933</v>
      </c>
      <c r="F16" s="348">
        <f>IF(ISNUMBER(
   IF(D_I="SI",(Datos!K16-Datos!U16)/Datos!U16,(Datos!K16+Datos!AE16-(Datos!U16+Datos!AM16))/(Datos!U16+Datos!AM16))
     ),IF(D_I="SI",(Datos!K16-Datos!U16)/Datos!U16,(Datos!K16+Datos!AE16-(Datos!U16+Datos!AM16))/(Datos!U16+Datos!AM16))," - ")</f>
        <v>-4.2042042042042045E-2</v>
      </c>
      <c r="G16" s="349">
        <f>IF(ISNUMBER(
   IF(D_I="SI",(Datos!L16-Datos!V16)/Datos!V16,(Datos!L16+Datos!AF16-(Datos!V16+Datos!AN16))/(Datos!V16+Datos!AN16))
     ),IF(D_I="SI",(Datos!L16-Datos!V16)/Datos!V16,(Datos!L16+Datos!AF16-(Datos!V16+Datos!AN16))/(Datos!V16+Datos!AN16))," - ")</f>
        <v>8.6879432624113476E-2</v>
      </c>
      <c r="H16" s="230">
        <f>IF(ISNUMBER((Datos!M16-Datos!W16)/Datos!W16),(Datos!M16-Datos!W16)/Datos!W16," - ")</f>
        <v>-0.11764705882352941</v>
      </c>
      <c r="I16" s="350">
        <f>IF(ISNUMBER((Tasas!C16-Datos!BE16)/Datos!BE16),(Tasas!C16-Datos!BE16)/Datos!BE16," - ")</f>
        <v>0.13457947041952906</v>
      </c>
      <c r="J16" s="349">
        <f>IF(ISNUMBER((Tasas!D16-Datos!BF16)/Datos!BF16),(Tasas!D16-Datos!BF16)/Datos!BF16," - ")</f>
        <v>-7.8923105292273629E-2</v>
      </c>
      <c r="K16" s="351">
        <f>IF(ISNUMBER((Tasas!E16-Datos!BG16)/Datos!BG16),(Tasas!E16-Datos!BG16)/Datos!BG16," - ")</f>
        <v>7.9883255864230812E-2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0.45098039215686275</v>
      </c>
      <c r="E17" s="348">
        <f>IF(ISNUMBER(
   IF(D_I="SI",(Datos!J17-Datos!T17)/Datos!T17,(Datos!J17+Datos!AD17-(Datos!T17+Datos!AL17))/(Datos!T17+Datos!AL17))
     ),IF(D_I="SI",(Datos!J17-Datos!T17)/Datos!T17,(Datos!J17+Datos!AD17-(Datos!T17+Datos!AL17))/(Datos!T17+Datos!AL17))," - ")</f>
        <v>-0.51851851851851849</v>
      </c>
      <c r="F17" s="348">
        <f>IF(ISNUMBER(
   IF(D_I="SI",(Datos!K17-Datos!U17)/Datos!U17,(Datos!K17+Datos!AE17-(Datos!U17+Datos!AM17))/(Datos!U17+Datos!AM17))
     ),IF(D_I="SI",(Datos!K17-Datos!U17)/Datos!U17,(Datos!K17+Datos!AE17-(Datos!U17+Datos!AM17))/(Datos!U17+Datos!AM17))," - ")</f>
        <v>-0.2857142857142857</v>
      </c>
      <c r="G17" s="349">
        <f>IF(ISNUMBER(
   IF(D_I="SI",(Datos!L17-Datos!V17)/Datos!V17,(Datos!L17+Datos!AF17-(Datos!V17+Datos!AN17))/(Datos!V17+Datos!AN17))
     ),IF(D_I="SI",(Datos!L17-Datos!V17)/Datos!V17,(Datos!L17+Datos!AF17-(Datos!V17+Datos!AN17))/(Datos!V17+Datos!AN17))," - ")</f>
        <v>3.8461538461538464E-2</v>
      </c>
      <c r="H17" s="230">
        <f>IF(ISNUMBER((Datos!M17-Datos!W17)/Datos!W17),(Datos!M17-Datos!W17)/Datos!W17," - ")</f>
        <v>-0.77777777777777779</v>
      </c>
      <c r="I17" s="350">
        <f>IF(ISNUMBER((Tasas!C17-Datos!BE17)/Datos!BE17),(Tasas!C17-Datos!BE17)/Datos!BE17," - ")</f>
        <v>0.45384615384615384</v>
      </c>
      <c r="J17" s="349">
        <f>IF(ISNUMBER((Tasas!D17-Datos!BF17)/Datos!BF17),(Tasas!D17-Datos!BF17)/Datos!BF17," - ")</f>
        <v>-0.68888888888888888</v>
      </c>
      <c r="K17" s="351">
        <f>IF(ISNUMBER((Tasas!E17-Datos!BG17)/Datos!BG17),(Tasas!E17-Datos!BG17)/Datos!BG17," - ")</f>
        <v>0.33333333333333331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0.15955766192733017</v>
      </c>
      <c r="E18" s="354">
        <f>IF(ISNUMBER(
   IF(D_I="SI",(Datos!J18-Datos!T18)/Datos!T18,(Datos!J18+Datos!AD18-(Datos!T18+Datos!AL18))/(Datos!T18+Datos!AL18))
     ),IF(D_I="SI",(Datos!J18-Datos!T18)/Datos!T18,(Datos!J18+Datos!AD18-(Datos!T18+Datos!AL18))/(Datos!T18+Datos!AL18))," - ")</f>
        <v>-0.20215633423180593</v>
      </c>
      <c r="F18" s="354">
        <f>IF(ISNUMBER(
   IF(D_I="SI",(Datos!K18-Datos!U18)/Datos!U18,(Datos!K18+Datos!AE18-(Datos!U18+Datos!AM18))/(Datos!U18+Datos!AM18))
     ),IF(D_I="SI",(Datos!K18-Datos!U18)/Datos!U18,(Datos!K18+Datos!AE18-(Datos!U18+Datos!AM18))/(Datos!U18+Datos!AM18))," - ")</f>
        <v>-6.0941828254847646E-2</v>
      </c>
      <c r="G18" s="355">
        <f>IF(ISNUMBER(
   IF(D_I="SI",(Datos!L18-Datos!V18)/Datos!V18,(Datos!L18+Datos!AF18-(Datos!V18+Datos!AN18))/(Datos!V18+Datos!AN18))
     ),IF(D_I="SI",(Datos!L18-Datos!V18)/Datos!V18,(Datos!L18+Datos!AF18-(Datos!V18+Datos!AN18))/(Datos!V18+Datos!AN18))," - ")</f>
        <v>8.0996884735202487E-2</v>
      </c>
      <c r="H18" s="356">
        <f>IF(ISNUMBER((Datos!M18-Datos!W18)/Datos!W18),(Datos!M18-Datos!W18)/Datos!W18," - ")</f>
        <v>-0.2558139534883721</v>
      </c>
      <c r="I18" s="357">
        <f>IF(ISNUMBER((Tasas!C18-Datos!BE18)/Datos!BE18),(Tasas!C18-Datos!BE18)/Datos!BE18," - ")</f>
        <v>0.15115007489500934</v>
      </c>
      <c r="J18" s="355">
        <f>IF(ISNUMBER((Tasas!D18-Datos!BF18)/Datos!BF18),(Tasas!D18-Datos!BF18)/Datos!BF18," - ")</f>
        <v>-0.20751869383275023</v>
      </c>
      <c r="K18" s="358">
        <f>IF(ISNUMBER((Tasas!E18-Datos!BG18)/Datos!BG18),(Tasas!E18-Datos!BG18)/Datos!BG18," - ")</f>
        <v>9.2473762766044923E-2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7.2102425876010776E-2</v>
      </c>
      <c r="E19" s="363">
        <f>IF(ISNUMBER(
   IF(J_V="SI",(Datos!J19-Datos!T19)/Datos!T19,(Datos!J19+Datos!Z19-(Datos!T19+Datos!AH19))/(Datos!T19+Datos!AH19))
     ),IF(J_V="SI",(Datos!J19-Datos!T19)/Datos!T19,(Datos!J19+Datos!Z19-(Datos!T19+Datos!AH19))/(Datos!T19+Datos!AH19))," - ")</f>
        <v>-0.2263843648208469</v>
      </c>
      <c r="F19" s="363">
        <f>IF(ISNUMBER(
   IF(J_V="SI",(Datos!K19-Datos!U19)/Datos!U19,(Datos!K19+Datos!AA19-(Datos!U19+Datos!AI19))/(Datos!U19+Datos!AI19))
     ),IF(J_V="SI",(Datos!K19-Datos!U19)/Datos!U19,(Datos!K19+Datos!AA19-(Datos!U19+Datos!AI19))/(Datos!U19+Datos!AI19))," - ")</f>
        <v>-7.3275862068965511E-2</v>
      </c>
      <c r="G19" s="364">
        <f>IF(ISNUMBER(
   IF(J_V="SI",(Datos!L19-Datos!V19)/Datos!V19,(Datos!L19+Datos!AB19-(Datos!V19+Datos!AJ19))/(Datos!V19+Datos!AJ19))
     ),IF(J_V="SI",(Datos!L19-Datos!V19)/Datos!V19,(Datos!L19+Datos!AB19-(Datos!V19+Datos!AJ19))/(Datos!V19+Datos!AJ19))," - ")</f>
        <v>1.6416845110635261E-2</v>
      </c>
      <c r="H19" s="365">
        <f>IF(ISNUMBER((Datos!M19-Datos!W19)/Datos!W19),(Datos!M19-Datos!W19)/Datos!W19," - ")</f>
        <v>-0.20168067226890757</v>
      </c>
      <c r="I19" s="362">
        <f>IF(ISNUMBER((Tasas!C19-Datos!BE19)/Datos!BE19),(Tasas!C19-Datos!BE19)/Datos!BE19," - ")</f>
        <v>9.6784688677522893E-2</v>
      </c>
      <c r="J19" s="363">
        <f>IF(ISNUMBER((Tasas!D19-Datos!BF19)/Datos!BF19),(Tasas!D19-Datos!BF19)/Datos!BF19," - ")</f>
        <v>-0.39342232007706063</v>
      </c>
      <c r="K19" s="364">
        <f>IF(ISNUMBER((Tasas!E19-Datos!BG19)/Datos!BG19),(Tasas!E19-Datos!BG19)/Datos!BG19," - ")</f>
        <v>6.2611124659143841E-2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0.1638763300125114</v>
      </c>
      <c r="E21" s="278">
        <f t="shared" si="1"/>
        <v>0.24942183411539709</v>
      </c>
      <c r="F21" s="278">
        <f t="shared" si="1"/>
        <v>0.21576838636750964</v>
      </c>
      <c r="G21" s="279">
        <f t="shared" si="1"/>
        <v>5.7797048797266791E-2</v>
      </c>
      <c r="H21" s="285">
        <f t="shared" si="1"/>
        <v>0.27228946366181644</v>
      </c>
      <c r="I21" s="277">
        <f t="shared" si="1"/>
        <v>0.34196683227024671</v>
      </c>
      <c r="J21" s="278">
        <f t="shared" si="1"/>
        <v>0.6013247465143986</v>
      </c>
      <c r="K21" s="279">
        <f t="shared" si="1"/>
        <v>0.32265835652399455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QI1nYTdqsQvTMcDgBMquCmOYlPrx7FS0uap2R/6TDCq3dDLY24e4sTbxNhrky8pnuBYwWRx2Z66FszEU74BoA==" saltValue="3nFXXMB3N5iC4tQO0uIg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